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928" activeTab="0"/>
  </bookViews>
  <sheets>
    <sheet name="Pay Calculator" sheetId="1" r:id="rId1"/>
    <sheet name="Data" sheetId="2" state="hidden" r:id="rId2"/>
  </sheets>
  <externalReferences>
    <externalReference r:id="rId5"/>
  </externalReferences>
  <definedNames>
    <definedName name="COLA">'Data'!$H$2:$H$17</definedName>
    <definedName name="Hours">'Data'!$A$6:$A$8</definedName>
    <definedName name="Locality">'[1]Locality Rates'!$A$2:$A$49</definedName>
    <definedName name="Locality2005">'[1]Locality Rates'!$A$2:$A$52</definedName>
    <definedName name="Payperiods">'Data'!$A$11:$A$12</definedName>
    <definedName name="Schedule">'Data'!$A$2:$A$3</definedName>
  </definedNames>
  <calcPr fullCalcOnLoad="1"/>
</workbook>
</file>

<file path=xl/comments1.xml><?xml version="1.0" encoding="utf-8"?>
<comments xmlns="http://schemas.openxmlformats.org/spreadsheetml/2006/main">
  <authors>
    <author>francis.scott</author>
    <author>Anthony J Fanchi</author>
  </authors>
  <commentList>
    <comment ref="C19" authorId="0">
      <text>
        <r>
          <rPr>
            <b/>
            <sz val="8"/>
            <rFont val="Tahoma"/>
            <family val="0"/>
          </rPr>
          <t>Select "Shift" or "One night a week"</t>
        </r>
      </text>
    </comment>
    <comment ref="C21" authorId="0">
      <text>
        <r>
          <rPr>
            <b/>
            <sz val="8"/>
            <rFont val="Tahoma"/>
            <family val="0"/>
          </rPr>
          <t>Select 72, 60, or 56</t>
        </r>
      </text>
    </comment>
    <comment ref="C29" authorId="0">
      <text>
        <r>
          <rPr>
            <b/>
            <sz val="8"/>
            <rFont val="Tahoma"/>
            <family val="0"/>
          </rPr>
          <t>Make sure you enter the LMS as a number between 0 and 100, and don't enter a % sign.</t>
        </r>
      </text>
    </comment>
    <comment ref="C44" authorId="0">
      <text>
        <r>
          <rPr>
            <b/>
            <sz val="8"/>
            <rFont val="Tahoma"/>
            <family val="0"/>
          </rPr>
          <t>Select 26 or 27</t>
        </r>
      </text>
    </comment>
    <comment ref="C55" authorId="0">
      <text>
        <r>
          <rPr>
            <b/>
            <sz val="8"/>
            <rFont val="Tahoma"/>
            <family val="0"/>
          </rPr>
          <t>Enter Annual Base Salary only!  Do not include the Local Market Supplement.</t>
        </r>
      </text>
    </comment>
    <comment ref="C36" authorId="1">
      <text>
        <r>
          <rPr>
            <b/>
            <sz val="8"/>
            <rFont val="Tahoma"/>
            <family val="0"/>
          </rPr>
          <t>Choose an area from the provided list, which will automatically select the correct Locality/COLA rate.  To manually change the rate for future raises, enter the new rate (no %) in the red space below.</t>
        </r>
      </text>
    </comment>
    <comment ref="G38" authorId="1">
      <text>
        <r>
          <rPr>
            <b/>
            <sz val="8"/>
            <rFont val="Tahoma"/>
            <family val="0"/>
          </rPr>
          <t>This block is used to manually enter a COLA rate.  It overrides the dropdown list.</t>
        </r>
      </text>
    </comment>
  </commentList>
</comments>
</file>

<file path=xl/sharedStrings.xml><?xml version="1.0" encoding="utf-8"?>
<sst xmlns="http://schemas.openxmlformats.org/spreadsheetml/2006/main" count="116" uniqueCount="111">
  <si>
    <r>
      <t>PAY PERIODS:</t>
    </r>
    <r>
      <rPr>
        <sz val="10"/>
        <rFont val="Arial"/>
        <family val="2"/>
      </rPr>
      <t xml:space="preserve">  Most years contain 26 pay periods, which this file was initially set-up for.  However, some years do contain 27</t>
    </r>
  </si>
  <si>
    <t>pay periods.  This will cause the annual totals to be a paycheck short.  To correct this, simply change the number of pay periods</t>
  </si>
  <si>
    <t xml:space="preserve">in the space below to 27.  Remember, you will need to change it back the following year.   </t>
  </si>
  <si>
    <t># of pay periods:</t>
  </si>
  <si>
    <t xml:space="preserve">work a regular 40 hour workweek but also stay one night a week (Fire Chief, Fire Inspectors, etc).  There are three hourly </t>
  </si>
  <si>
    <t>Developed by Anthony J. Fanchi</t>
  </si>
  <si>
    <t>FIREFIGHTER NSPS PAY PROGRAM</t>
  </si>
  <si>
    <t xml:space="preserve">Note: Local market supplements will vary by location and occupation, so it is very important that you enter the correct </t>
  </si>
  <si>
    <t>percentage rate to ensure accurate pay calculations.</t>
  </si>
  <si>
    <t>LMS percentage:</t>
  </si>
  <si>
    <t>Note:  Basic pay will vary from employee to employee, as there are no steps within each pay band.  You will have to refer</t>
  </si>
  <si>
    <t>Annual Basic Pay:</t>
  </si>
  <si>
    <t>Shift</t>
  </si>
  <si>
    <t>One night a week</t>
  </si>
  <si>
    <r>
      <t xml:space="preserve">Firefighter Pay:  </t>
    </r>
    <r>
      <rPr>
        <sz val="10"/>
        <rFont val="Arial"/>
        <family val="2"/>
      </rPr>
      <t>We now have all the information necessary to calculate your pay.  An explanation of each line is included below.</t>
    </r>
  </si>
  <si>
    <t>Pay Period</t>
  </si>
  <si>
    <t>Annual Pay</t>
  </si>
  <si>
    <t>Adjusted Base Pay</t>
  </si>
  <si>
    <t>the second block and select either 72, 60, or 56.</t>
  </si>
  <si>
    <r>
      <t>WORK SCHEDULE:</t>
    </r>
    <r>
      <rPr>
        <sz val="10"/>
        <rFont val="Arial"/>
        <family val="2"/>
      </rPr>
      <t xml:space="preserve">  There are two main firefighter work schedules--one for 24 hour shift firefighters, and one for the firefighters who</t>
    </r>
  </si>
  <si>
    <t>Work Schedule:</t>
  </si>
  <si>
    <t>Work Hours:</t>
  </si>
  <si>
    <r>
      <t xml:space="preserve">LOCAL MARKET SUPPLEMENT:  </t>
    </r>
    <r>
      <rPr>
        <sz val="10"/>
        <rFont val="Arial"/>
        <family val="2"/>
      </rPr>
      <t xml:space="preserve">Enter your LMS rate in the space provided below.  Look in block 9 of a recent LES to find your rate,  </t>
    </r>
  </si>
  <si>
    <t xml:space="preserve">or contact your payroll adviser for assistance.  When entering, you need only to type the number.  DO NOT enter the % symbol. </t>
  </si>
  <si>
    <t xml:space="preserve">schedules--72 hours a week, 60 hours, and 56 hours.  Firefighters working less than 53 hours a week are not covered by this </t>
  </si>
  <si>
    <t>to your latest Form 50, career brief or recent LES to find your current basic pay.</t>
  </si>
  <si>
    <r>
      <t xml:space="preserve">INTRODUCTION:  </t>
    </r>
    <r>
      <rPr>
        <sz val="10"/>
        <rFont val="Arial"/>
        <family val="2"/>
      </rPr>
      <t xml:space="preserve">As many of you are aware, I have developed annual federal firefighter pay charts since our pay reform in 1998. </t>
    </r>
  </si>
  <si>
    <t>Personnel System), my pay charts may soon be a thing of the past.  Without a fixed GS pay schedule, there is no way to produce</t>
  </si>
  <si>
    <t>I've received a lot of positive feedback over the years and I thank you all.  With the gradual transition to NSPS (National Security</t>
  </si>
  <si>
    <t xml:space="preserve">program.  To set the schedule, click on the first block and select either "Shift" or "One night a week".  To change the hours, click on </t>
  </si>
  <si>
    <t>NSPS Conversion Calculator</t>
  </si>
  <si>
    <t>If you are about to be converted into NSPS and want to estimate your Annual Basic Pay, visit the following website:</t>
  </si>
  <si>
    <t>(GS-10 Step 1 w/ locality)</t>
  </si>
  <si>
    <t>(Max overtime rate)</t>
  </si>
  <si>
    <t xml:space="preserve">One aspect of our pay that has been preserved is the overtime provisions of the 1998 Pay Reform Act.  As a result, I felt there was </t>
  </si>
  <si>
    <t xml:space="preserve">still a need for some type of pay program.  The difference is that the pay figures will be unique to your NSPS salary.  Simply enter </t>
  </si>
  <si>
    <t>some basic information in the blocks below, and the program will calculate your actual firefighter pay.</t>
  </si>
  <si>
    <r>
      <t xml:space="preserve">ANNUAL BASIC PAY:  </t>
    </r>
    <r>
      <rPr>
        <sz val="10"/>
        <rFont val="Arial"/>
        <family val="2"/>
      </rPr>
      <t xml:space="preserve">Please enter the amount of your annual pay under the NSPS system.  This amount should </t>
    </r>
    <r>
      <rPr>
        <b/>
        <sz val="10"/>
        <rFont val="Arial"/>
        <family val="2"/>
      </rPr>
      <t>NOT</t>
    </r>
    <r>
      <rPr>
        <sz val="10"/>
        <rFont val="Arial"/>
        <family val="2"/>
      </rPr>
      <t xml:space="preserve"> include the  </t>
    </r>
  </si>
  <si>
    <t>Hours</t>
  </si>
  <si>
    <t>Normal NSPS Pay</t>
  </si>
  <si>
    <t>Normal NSPS Rate</t>
  </si>
  <si>
    <t>Firefighter Pay</t>
  </si>
  <si>
    <t>Firefighter Rate</t>
  </si>
  <si>
    <t>Overtime  Pay</t>
  </si>
  <si>
    <t>Overtime Rate</t>
  </si>
  <si>
    <t>Normal Pay &amp; Rate are not applicable for a 24-hour shift schedule</t>
  </si>
  <si>
    <t>Overtime Pay refers to pay earned for all hours beyond 106.  On your LES, it is referred to as "OT IN TOUR."</t>
  </si>
  <si>
    <t>Warning! Check the work hours.  Personnel who work Mon-Fri and stay one night, generally do not work more than 60 hours a week.</t>
  </si>
  <si>
    <t xml:space="preserve"> </t>
  </si>
  <si>
    <t>Firefighter Pay refers to the 26 hours outside the normal workweek (hours 41 to 53 each week).  It is also referred to as "REGULAR PAY."</t>
  </si>
  <si>
    <t>Firefighter Pay refers to the base pay earned for 106 hours a pay period (53 a week).  On your LES, it is referred to as "REGULAR PAY."</t>
  </si>
  <si>
    <t xml:space="preserve">Normal Pay refers to the base pay earned for the regular 80 hours a pay period (40 a week).  On your LES, it is referred to as "REGULAR PAY" </t>
  </si>
  <si>
    <t>Normal Rate refers to the hourly pay actually received for those 80 hours.  It is the normal NSPS rate for your salary.</t>
  </si>
  <si>
    <t>Firefighter Rate refers to the hourly pay actually received for those 106 hours.  It is less than the normal NSPS rate.</t>
  </si>
  <si>
    <t>Firefighter Rate refers to the hourly pay actually received for those 26 hours.  It is the same as shift firefighters of equal grade and step receive.</t>
  </si>
  <si>
    <r>
      <t xml:space="preserve">Overtime is 1 1/2 times the Firefighter Rate and is capped at the </t>
    </r>
    <r>
      <rPr>
        <b/>
        <i/>
        <u val="single"/>
        <sz val="10"/>
        <rFont val="Arial"/>
        <family val="2"/>
      </rPr>
      <t>true</t>
    </r>
    <r>
      <rPr>
        <b/>
        <sz val="10"/>
        <rFont val="Arial"/>
        <family val="2"/>
      </rPr>
      <t xml:space="preserve"> overtime rate</t>
    </r>
  </si>
  <si>
    <r>
      <t xml:space="preserve">of a GS-10 step 1 </t>
    </r>
    <r>
      <rPr>
        <b/>
        <i/>
        <sz val="10"/>
        <rFont val="Arial"/>
        <family val="2"/>
      </rPr>
      <t>(will never be less than FF Rate)</t>
    </r>
    <r>
      <rPr>
        <b/>
        <sz val="10"/>
        <rFont val="Arial"/>
        <family val="2"/>
      </rPr>
      <t>.  Current OT cap is:</t>
    </r>
  </si>
  <si>
    <t xml:space="preserve">  </t>
  </si>
  <si>
    <t>Annual Pay refers to the actual gross pay you should receive for 26 or 27 (if applicable) pay periods.</t>
  </si>
  <si>
    <t>The actual gross pay you should receive each pay period.  It is derived by adding the Regular and Overtime Pay.</t>
  </si>
  <si>
    <r>
      <t xml:space="preserve">Yearly Updates:  </t>
    </r>
    <r>
      <rPr>
        <sz val="10"/>
        <rFont val="Arial"/>
        <family val="2"/>
      </rPr>
      <t>Since everyone's pay is unique, there is very little that needs to be updated in the program.  If your salary or LMS</t>
    </r>
  </si>
  <si>
    <t>increases or decreases, you just change the above entries.  The one feature that should be updated each year is the Overtime Cap.</t>
  </si>
  <si>
    <r>
      <t xml:space="preserve">This is one aspect of NSPS that still attaches itself to the GS grades (firefighters only).  The cap is the </t>
    </r>
    <r>
      <rPr>
        <b/>
        <i/>
        <sz val="10"/>
        <rFont val="Arial"/>
        <family val="2"/>
      </rPr>
      <t>true</t>
    </r>
    <r>
      <rPr>
        <sz val="10"/>
        <rFont val="Arial"/>
        <family val="2"/>
      </rPr>
      <t xml:space="preserve"> overtime rate of a GS-10</t>
    </r>
  </si>
  <si>
    <t>http://www.opm.gov.</t>
  </si>
  <si>
    <t>GS-10 Step 1 Pay:</t>
  </si>
  <si>
    <t>Schedule</t>
  </si>
  <si>
    <t>Overtime</t>
  </si>
  <si>
    <t>Information</t>
  </si>
  <si>
    <t>(Updated GS-10 Step 1--no locality)</t>
  </si>
  <si>
    <t>Pay periods</t>
  </si>
  <si>
    <t>a pay chart that covers all employees.  Everyone will have a different salary.</t>
  </si>
  <si>
    <t>Local Market Supplement or any firefighter overtime.  You only need to type the number.</t>
  </si>
  <si>
    <t>If you would like to update this information yourself, go to</t>
  </si>
  <si>
    <t>Step 1, which is shown above.  This rate changes the first pay period of each year.</t>
  </si>
  <si>
    <r>
      <t xml:space="preserve">Visit the </t>
    </r>
    <r>
      <rPr>
        <b/>
        <i/>
        <sz val="10"/>
        <rFont val="Arial"/>
        <family val="2"/>
      </rPr>
      <t>"Salaries and Wages"</t>
    </r>
    <r>
      <rPr>
        <sz val="10"/>
        <rFont val="Arial"/>
        <family val="0"/>
      </rPr>
      <t xml:space="preserve"> section to find the</t>
    </r>
  </si>
  <si>
    <r>
      <t>"General Schedule and Locality Pay Tables."</t>
    </r>
    <r>
      <rPr>
        <sz val="10"/>
        <rFont val="Arial"/>
        <family val="0"/>
      </rPr>
      <t xml:space="preserve">  The very first pay chart is the </t>
    </r>
    <r>
      <rPr>
        <b/>
        <i/>
        <sz val="10"/>
        <rFont val="Arial"/>
        <family val="2"/>
      </rPr>
      <t>General Schedule (Base)</t>
    </r>
    <r>
      <rPr>
        <sz val="10"/>
        <rFont val="Arial"/>
        <family val="0"/>
      </rPr>
      <t xml:space="preserve"> pay and has no locality rate.  </t>
    </r>
  </si>
  <si>
    <t>Once in the chart, note the annual salary for a GS-10 Step 1.  Enter that number into the space below to update the overtime cap.</t>
  </si>
  <si>
    <r>
      <t>Note:</t>
    </r>
    <r>
      <rPr>
        <sz val="10"/>
        <rFont val="Arial"/>
        <family val="2"/>
      </rPr>
      <t xml:space="preserve"> Be sure to enter Base Pay only--no locality!  The LMS is already addressed above.</t>
    </r>
  </si>
  <si>
    <t>Firefighter Base Pay</t>
  </si>
  <si>
    <r>
      <t xml:space="preserve">Base Pay refers to the amount listed in block 7 of your LES and is used by this program to calculate hourly rates only!  It is </t>
    </r>
    <r>
      <rPr>
        <b/>
        <u val="single"/>
        <sz val="10"/>
        <rFont val="Arial"/>
        <family val="2"/>
      </rPr>
      <t>not</t>
    </r>
    <r>
      <rPr>
        <b/>
        <sz val="10"/>
        <rFont val="Arial"/>
        <family val="2"/>
      </rPr>
      <t xml:space="preserve"> a federal firefighter's true base pay and should not be used for calculating retirement, TSP, life insurance, etc.</t>
    </r>
  </si>
  <si>
    <t>Firefighter Base Pay refers to the "True Base Pay" of a federal firefighter.  It is the base pay that is credible for retirement, TSP, life insurance, and other purposes.  This is the amount that will be used to calculate your "High 3" salary.</t>
  </si>
  <si>
    <t>DO NOT enter the % symbol.</t>
  </si>
  <si>
    <t>COLA Area:</t>
  </si>
  <si>
    <t>COLA Rate:</t>
  </si>
  <si>
    <t xml:space="preserve">Anchorage </t>
  </si>
  <si>
    <t>Fairbanks</t>
  </si>
  <si>
    <t>Juneau</t>
  </si>
  <si>
    <t>Rest of Alaska</t>
  </si>
  <si>
    <t>Honolulu</t>
  </si>
  <si>
    <t>Hawaii (County)</t>
  </si>
  <si>
    <t>Kauai</t>
  </si>
  <si>
    <t>Maui and Kalawao</t>
  </si>
  <si>
    <t>Puerto Rico</t>
  </si>
  <si>
    <t>U.S. Virgin Islands</t>
  </si>
  <si>
    <t>American Samoa</t>
  </si>
  <si>
    <t>Johnston and Sand Island</t>
  </si>
  <si>
    <t>Midway Islands</t>
  </si>
  <si>
    <t>Guam and Northern Mariana Islands</t>
  </si>
  <si>
    <t>Wake Island</t>
  </si>
  <si>
    <t>COLA Area</t>
  </si>
  <si>
    <t>Rate</t>
  </si>
  <si>
    <t>Manual COLA only!  Normally blank</t>
  </si>
  <si>
    <r>
      <t xml:space="preserve">Non-Foreign COLA:  </t>
    </r>
    <r>
      <rPr>
        <sz val="10"/>
        <rFont val="Arial"/>
        <family val="2"/>
      </rPr>
      <t>If you receive a COLA please select your area from the dropdown list below, or manually enter the rate in the</t>
    </r>
  </si>
  <si>
    <t>red box.  Normally you would not receive both a LMS and COLA, but it may be possible under NSPS.</t>
  </si>
  <si>
    <t>No COLA</t>
  </si>
  <si>
    <t>Click on the dropdown box, or manually enter rate below.</t>
  </si>
  <si>
    <t>COLA (if used)</t>
  </si>
  <si>
    <t xml:space="preserve">COLA refers to the Non-Foreign Cost of Living Allowance federal workers receive </t>
  </si>
  <si>
    <t>when employed outside the continental U.S.</t>
  </si>
  <si>
    <t>(2009 GS-10 Step 1--no locality)</t>
  </si>
  <si>
    <t>Note: If you only receive a COLA, be sure to change the LMS to 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</si>
</sst>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2]\ #,##0.00_);[Red]\([$€-2]\ #,##0.00\)"/>
    <numFmt numFmtId="172" formatCode="&quot;$&quot;#,##0"/>
    <numFmt numFmtId="173" formatCode="_([$$-409]* #,##0.00_);_([$$-409]* \(#,##0.00\);_([$$-409]* &quot;-&quot;??_);_(@_)"/>
  </numFmts>
  <fonts count="16">
    <font>
      <sz val="10"/>
      <name val="Arial"/>
      <family val="0"/>
    </font>
    <font>
      <b/>
      <sz val="10"/>
      <name val="Arial"/>
      <family val="2"/>
    </font>
    <font>
      <sz val="9.9"/>
      <name val="Arial"/>
      <family val="2"/>
    </font>
    <font>
      <b/>
      <i/>
      <sz val="10"/>
      <name val="Arial"/>
      <family val="2"/>
    </font>
    <font>
      <u val="single"/>
      <sz val="10"/>
      <color indexed="12"/>
      <name val="Arial"/>
      <family val="0"/>
    </font>
    <font>
      <u val="single"/>
      <sz val="10"/>
      <color indexed="36"/>
      <name val="Arial"/>
      <family val="0"/>
    </font>
    <font>
      <b/>
      <u val="single"/>
      <sz val="24"/>
      <name val="Arial"/>
      <family val="2"/>
    </font>
    <font>
      <u val="single"/>
      <sz val="10"/>
      <name val="Arial"/>
      <family val="2"/>
    </font>
    <font>
      <b/>
      <u val="single"/>
      <sz val="10"/>
      <name val="Arial"/>
      <family val="2"/>
    </font>
    <font>
      <sz val="8"/>
      <name val="Arial"/>
      <family val="0"/>
    </font>
    <font>
      <sz val="9"/>
      <name val="Arial"/>
      <family val="2"/>
    </font>
    <font>
      <b/>
      <i/>
      <u val="single"/>
      <sz val="10"/>
      <name val="Arial"/>
      <family val="2"/>
    </font>
    <font>
      <i/>
      <sz val="10"/>
      <name val="Arial"/>
      <family val="2"/>
    </font>
    <font>
      <sz val="8"/>
      <name val="Tahoma"/>
      <family val="2"/>
    </font>
    <font>
      <b/>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10"/>
        <bgColor indexed="64"/>
      </patternFill>
    </fill>
  </fills>
  <borders count="15">
    <border>
      <left/>
      <right/>
      <top/>
      <bottom/>
      <diagonal/>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3" fillId="0" borderId="0" xfId="0" applyFont="1" applyFill="1" applyBorder="1" applyAlignment="1">
      <alignment/>
    </xf>
    <xf numFmtId="2" fontId="7" fillId="2" borderId="0" xfId="0" applyNumberFormat="1" applyFont="1" applyFill="1" applyBorder="1" applyAlignment="1" applyProtection="1">
      <alignment horizontal="center"/>
      <protection locked="0"/>
    </xf>
    <xf numFmtId="0" fontId="0" fillId="0" borderId="0" xfId="0" applyAlignment="1">
      <alignment horizontal="center"/>
    </xf>
    <xf numFmtId="0" fontId="0" fillId="0" borderId="0" xfId="0" applyFill="1" applyAlignment="1" applyProtection="1">
      <alignment/>
      <protection/>
    </xf>
    <xf numFmtId="0" fontId="1" fillId="0" borderId="0" xfId="0" applyFont="1" applyFill="1" applyAlignment="1" applyProtection="1">
      <alignment/>
      <protection/>
    </xf>
    <xf numFmtId="0" fontId="1" fillId="0" borderId="0" xfId="21" applyNumberFormat="1" applyFont="1" applyFill="1" applyAlignment="1" applyProtection="1">
      <alignment horizontal="center"/>
      <protection/>
    </xf>
    <xf numFmtId="0" fontId="1" fillId="0" borderId="0" xfId="0" applyFont="1" applyFill="1" applyAlignment="1" applyProtection="1">
      <alignment horizontal="center"/>
      <protection/>
    </xf>
    <xf numFmtId="0" fontId="8" fillId="0" borderId="0" xfId="0" applyFont="1" applyFill="1" applyAlignment="1" applyProtection="1">
      <alignment/>
      <protection/>
    </xf>
    <xf numFmtId="0" fontId="1" fillId="0" borderId="0" xfId="0" applyFont="1" applyFill="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pplyProtection="1">
      <alignment/>
      <protection/>
    </xf>
    <xf numFmtId="0" fontId="7" fillId="0" borderId="0" xfId="0" applyFont="1" applyFill="1" applyBorder="1" applyAlignment="1" applyProtection="1">
      <alignment horizontal="center"/>
      <protection/>
    </xf>
    <xf numFmtId="0" fontId="7" fillId="2" borderId="0" xfId="0" applyNumberFormat="1" applyFont="1" applyFill="1" applyAlignment="1" applyProtection="1">
      <alignment horizontal="center"/>
      <protection locked="0"/>
    </xf>
    <xf numFmtId="0" fontId="7" fillId="2" borderId="0" xfId="0" applyFont="1" applyFill="1" applyBorder="1" applyAlignment="1" applyProtection="1">
      <alignment horizontal="center"/>
      <protection locked="0"/>
    </xf>
    <xf numFmtId="10" fontId="0" fillId="0" borderId="0" xfId="0" applyNumberFormat="1" applyFill="1" applyAlignment="1" applyProtection="1">
      <alignment/>
      <protection/>
    </xf>
    <xf numFmtId="0" fontId="0" fillId="0" borderId="0" xfId="0" applyFont="1" applyFill="1" applyBorder="1" applyAlignment="1" applyProtection="1">
      <alignment/>
      <protection/>
    </xf>
    <xf numFmtId="172" fontId="0" fillId="2" borderId="0" xfId="0" applyNumberFormat="1" applyFont="1" applyFill="1" applyAlignment="1" applyProtection="1">
      <alignment horizontal="center"/>
      <protection locked="0"/>
    </xf>
    <xf numFmtId="173" fontId="3" fillId="0" borderId="0" xfId="17" applyNumberFormat="1" applyFont="1" applyFill="1" applyBorder="1" applyAlignment="1">
      <alignment horizontal="right"/>
    </xf>
    <xf numFmtId="7" fontId="0" fillId="0" borderId="0" xfId="17" applyNumberFormat="1" applyFont="1" applyFill="1" applyBorder="1" applyAlignment="1">
      <alignment horizontal="left"/>
    </xf>
    <xf numFmtId="37" fontId="0" fillId="0" borderId="0" xfId="17" applyNumberFormat="1" applyFont="1" applyFill="1" applyBorder="1" applyAlignment="1">
      <alignment horizontal="left"/>
    </xf>
    <xf numFmtId="0" fontId="0" fillId="2" borderId="0" xfId="0" applyFill="1" applyAlignment="1" applyProtection="1">
      <alignment horizontal="center"/>
      <protection locked="0"/>
    </xf>
    <xf numFmtId="0" fontId="0" fillId="0" borderId="0" xfId="0" applyFont="1" applyFill="1" applyAlignment="1" applyProtection="1">
      <alignment horizontal="left"/>
      <protection/>
    </xf>
    <xf numFmtId="0" fontId="0" fillId="0" borderId="0" xfId="17" applyNumberFormat="1" applyFont="1" applyFill="1" applyBorder="1" applyAlignment="1" applyProtection="1">
      <alignment horizontal="right"/>
      <protection locked="0"/>
    </xf>
    <xf numFmtId="173" fontId="0" fillId="0" borderId="1" xfId="17" applyNumberFormat="1" applyFont="1" applyFill="1" applyBorder="1" applyAlignment="1">
      <alignment horizontal="center"/>
    </xf>
    <xf numFmtId="173" fontId="0" fillId="0" borderId="2" xfId="17" applyNumberFormat="1" applyFont="1" applyFill="1" applyBorder="1" applyAlignment="1">
      <alignment horizontal="center"/>
    </xf>
    <xf numFmtId="173" fontId="0" fillId="0" borderId="1" xfId="17" applyNumberFormat="1" applyFont="1" applyFill="1" applyBorder="1" applyAlignment="1">
      <alignment horizontal="right"/>
    </xf>
    <xf numFmtId="173" fontId="0" fillId="0" borderId="2" xfId="17" applyNumberFormat="1" applyFont="1" applyFill="1" applyBorder="1" applyAlignment="1">
      <alignment horizontal="right"/>
    </xf>
    <xf numFmtId="0" fontId="1" fillId="0" borderId="3" xfId="0" applyFont="1" applyFill="1" applyBorder="1" applyAlignment="1" applyProtection="1">
      <alignment/>
      <protection/>
    </xf>
    <xf numFmtId="0" fontId="1" fillId="0" borderId="4" xfId="0" applyFont="1" applyFill="1" applyBorder="1" applyAlignment="1" applyProtection="1">
      <alignment/>
      <protection/>
    </xf>
    <xf numFmtId="0" fontId="1" fillId="0" borderId="5" xfId="0" applyFont="1" applyFill="1" applyBorder="1" applyAlignment="1" applyProtection="1">
      <alignment/>
      <protection/>
    </xf>
    <xf numFmtId="7" fontId="1" fillId="0" borderId="6" xfId="0" applyNumberFormat="1" applyFont="1" applyFill="1" applyBorder="1" applyAlignment="1" applyProtection="1">
      <alignment horizontal="left"/>
      <protection/>
    </xf>
    <xf numFmtId="0" fontId="1" fillId="0" borderId="7" xfId="0" applyFont="1" applyFill="1" applyBorder="1" applyAlignment="1">
      <alignment horizontal="center"/>
    </xf>
    <xf numFmtId="0" fontId="0" fillId="0" borderId="0" xfId="0" applyFill="1" applyBorder="1" applyAlignment="1" applyProtection="1">
      <alignment/>
      <protection/>
    </xf>
    <xf numFmtId="173" fontId="0" fillId="0" borderId="6" xfId="17" applyNumberFormat="1" applyFont="1" applyFill="1" applyBorder="1" applyAlignment="1">
      <alignment horizontal="right"/>
    </xf>
    <xf numFmtId="173" fontId="0" fillId="0" borderId="8" xfId="17" applyNumberFormat="1" applyFont="1" applyFill="1" applyBorder="1" applyAlignment="1">
      <alignment horizontal="right"/>
    </xf>
    <xf numFmtId="0" fontId="10" fillId="0" borderId="0" xfId="0" applyFont="1" applyFill="1" applyBorder="1" applyAlignment="1">
      <alignment horizontal="center"/>
    </xf>
    <xf numFmtId="0" fontId="0" fillId="0" borderId="0" xfId="0" applyBorder="1" applyAlignment="1">
      <alignment horizontal="center"/>
    </xf>
    <xf numFmtId="0" fontId="1" fillId="0" borderId="7" xfId="0" applyFont="1" applyFill="1" applyBorder="1" applyAlignment="1">
      <alignment horizontal="right"/>
    </xf>
    <xf numFmtId="0" fontId="1" fillId="0" borderId="8" xfId="0" applyFont="1" applyBorder="1" applyAlignment="1">
      <alignment horizontal="left"/>
    </xf>
    <xf numFmtId="44" fontId="1" fillId="0" borderId="8" xfId="17" applyNumberFormat="1" applyFont="1" applyFill="1" applyBorder="1" applyAlignment="1">
      <alignment horizontal="left"/>
    </xf>
    <xf numFmtId="44" fontId="1" fillId="0" borderId="8" xfId="17" applyNumberFormat="1" applyFont="1" applyFill="1" applyBorder="1" applyAlignment="1">
      <alignment horizontal="center"/>
    </xf>
    <xf numFmtId="44" fontId="3" fillId="0" borderId="8" xfId="17" applyNumberFormat="1" applyFont="1" applyFill="1" applyBorder="1" applyAlignment="1">
      <alignment horizontal="center"/>
    </xf>
    <xf numFmtId="0" fontId="0" fillId="0" borderId="0" xfId="0" applyBorder="1" applyAlignment="1">
      <alignment horizontal="left"/>
    </xf>
    <xf numFmtId="0" fontId="0" fillId="0" borderId="0" xfId="0" applyBorder="1" applyAlignment="1">
      <alignment/>
    </xf>
    <xf numFmtId="0" fontId="0" fillId="0" borderId="0" xfId="0" applyBorder="1" applyAlignment="1">
      <alignment wrapText="1"/>
    </xf>
    <xf numFmtId="173" fontId="2" fillId="0" borderId="5" xfId="17" applyNumberFormat="1" applyFont="1" applyFill="1" applyBorder="1" applyAlignment="1">
      <alignment horizontal="right"/>
    </xf>
    <xf numFmtId="173" fontId="2" fillId="0" borderId="7" xfId="17" applyNumberFormat="1" applyFont="1" applyFill="1" applyBorder="1" applyAlignment="1">
      <alignment horizontal="right"/>
    </xf>
    <xf numFmtId="0" fontId="1" fillId="0" borderId="7" xfId="0" applyFont="1" applyFill="1" applyBorder="1" applyAlignment="1">
      <alignment/>
    </xf>
    <xf numFmtId="7" fontId="1" fillId="0" borderId="8" xfId="0" applyNumberFormat="1" applyFont="1" applyFill="1" applyBorder="1" applyAlignment="1" applyProtection="1">
      <alignment horizontal="left"/>
      <protection/>
    </xf>
    <xf numFmtId="0" fontId="1" fillId="0" borderId="9" xfId="0" applyFont="1" applyFill="1" applyBorder="1" applyAlignment="1">
      <alignment horizontal="center"/>
    </xf>
    <xf numFmtId="44" fontId="1" fillId="0" borderId="0" xfId="17" applyNumberFormat="1" applyFont="1" applyFill="1" applyBorder="1" applyAlignment="1">
      <alignment horizontal="center"/>
    </xf>
    <xf numFmtId="44" fontId="1" fillId="0" borderId="4" xfId="17" applyNumberFormat="1" applyFont="1" applyFill="1" applyBorder="1" applyAlignment="1">
      <alignment horizontal="center"/>
    </xf>
    <xf numFmtId="173" fontId="12" fillId="0" borderId="1" xfId="17" applyNumberFormat="1" applyFont="1" applyFill="1" applyBorder="1" applyAlignment="1">
      <alignment horizontal="right"/>
    </xf>
    <xf numFmtId="0" fontId="4" fillId="0" borderId="0" xfId="20" applyAlignment="1">
      <alignment/>
    </xf>
    <xf numFmtId="0" fontId="0" fillId="0" borderId="0" xfId="0" applyFont="1" applyFill="1" applyAlignment="1" applyProtection="1">
      <alignment/>
      <protection/>
    </xf>
    <xf numFmtId="0" fontId="0" fillId="0" borderId="0" xfId="0" applyFill="1" applyAlignment="1" applyProtection="1">
      <alignment/>
      <protection/>
    </xf>
    <xf numFmtId="0" fontId="1" fillId="0" borderId="0" xfId="0" applyFont="1" applyFill="1" applyAlignment="1" applyProtection="1">
      <alignment/>
      <protection/>
    </xf>
    <xf numFmtId="0" fontId="8" fillId="0" borderId="0" xfId="0" applyFont="1" applyFill="1" applyAlignment="1" applyProtection="1">
      <alignment/>
      <protection/>
    </xf>
    <xf numFmtId="0" fontId="3" fillId="0" borderId="0" xfId="0" applyFont="1" applyFill="1" applyBorder="1" applyAlignment="1">
      <alignment/>
    </xf>
    <xf numFmtId="0" fontId="0" fillId="0" borderId="0" xfId="0" applyFont="1" applyFill="1" applyBorder="1" applyAlignment="1" applyProtection="1">
      <alignment/>
      <protection/>
    </xf>
    <xf numFmtId="3" fontId="0" fillId="0" borderId="0" xfId="0" applyNumberFormat="1" applyBorder="1" applyAlignment="1">
      <alignment horizontal="left"/>
    </xf>
    <xf numFmtId="0" fontId="8" fillId="0" borderId="0" xfId="0" applyFont="1" applyBorder="1" applyAlignment="1">
      <alignment/>
    </xf>
    <xf numFmtId="0" fontId="8" fillId="0" borderId="0" xfId="0" applyFont="1" applyBorder="1" applyAlignment="1">
      <alignment horizontal="left"/>
    </xf>
    <xf numFmtId="172" fontId="0" fillId="2" borderId="0" xfId="0" applyNumberFormat="1" applyFill="1" applyAlignment="1" applyProtection="1">
      <alignment horizontal="center"/>
      <protection locked="0"/>
    </xf>
    <xf numFmtId="0" fontId="3" fillId="0" borderId="0" xfId="0" applyFont="1" applyFill="1" applyAlignment="1" applyProtection="1">
      <alignment/>
      <protection/>
    </xf>
    <xf numFmtId="0" fontId="1" fillId="0" borderId="10" xfId="0" applyFont="1" applyFill="1" applyBorder="1" applyAlignment="1" applyProtection="1">
      <alignment horizontal="center"/>
      <protection/>
    </xf>
    <xf numFmtId="173" fontId="0" fillId="0" borderId="11" xfId="17" applyNumberFormat="1" applyFont="1" applyFill="1" applyBorder="1" applyAlignment="1">
      <alignment horizontal="right"/>
    </xf>
    <xf numFmtId="0" fontId="3" fillId="0" borderId="9" xfId="0" applyFont="1" applyFill="1" applyBorder="1" applyAlignment="1">
      <alignment horizontal="center"/>
    </xf>
    <xf numFmtId="0" fontId="3" fillId="0" borderId="7" xfId="0" applyFont="1" applyFill="1" applyBorder="1" applyAlignment="1">
      <alignment/>
    </xf>
    <xf numFmtId="0" fontId="0" fillId="0" borderId="8" xfId="0" applyFont="1" applyFill="1" applyBorder="1" applyAlignment="1" applyProtection="1">
      <alignment/>
      <protection/>
    </xf>
    <xf numFmtId="173" fontId="12" fillId="0" borderId="11" xfId="17" applyNumberFormat="1" applyFont="1" applyFill="1" applyBorder="1" applyAlignment="1" applyProtection="1">
      <alignment horizontal="right"/>
      <protection/>
    </xf>
    <xf numFmtId="173" fontId="0" fillId="0" borderId="11" xfId="17" applyNumberFormat="1" applyFont="1" applyFill="1" applyBorder="1" applyAlignment="1">
      <alignment horizontal="center"/>
    </xf>
    <xf numFmtId="44" fontId="1" fillId="0" borderId="10" xfId="17" applyFont="1" applyFill="1" applyBorder="1" applyAlignment="1">
      <alignment horizontal="center"/>
    </xf>
    <xf numFmtId="44" fontId="1" fillId="0" borderId="8" xfId="17" applyFont="1" applyFill="1" applyBorder="1" applyAlignment="1">
      <alignment horizontal="center"/>
    </xf>
    <xf numFmtId="0" fontId="0" fillId="0" borderId="0" xfId="0" applyAlignment="1">
      <alignment/>
    </xf>
    <xf numFmtId="0" fontId="7" fillId="0" borderId="0" xfId="0" applyFont="1" applyFill="1" applyBorder="1" applyAlignment="1" applyProtection="1">
      <alignment horizontal="left"/>
      <protection/>
    </xf>
    <xf numFmtId="10" fontId="7" fillId="0" borderId="0" xfId="0" applyNumberFormat="1" applyFont="1" applyFill="1" applyBorder="1" applyAlignment="1" applyProtection="1">
      <alignment horizontal="center"/>
      <protection/>
    </xf>
    <xf numFmtId="2" fontId="1" fillId="3" borderId="0" xfId="0" applyNumberFormat="1" applyFont="1" applyFill="1" applyAlignment="1" applyProtection="1">
      <alignment horizontal="center"/>
      <protection locked="0"/>
    </xf>
    <xf numFmtId="0" fontId="0" fillId="0" borderId="12" xfId="0" applyBorder="1" applyAlignment="1">
      <alignment horizontal="left" vertical="center" wrapText="1"/>
    </xf>
    <xf numFmtId="10" fontId="0" fillId="0" borderId="12" xfId="0" applyNumberFormat="1" applyBorder="1" applyAlignment="1">
      <alignment horizontal="center" vertical="top" wrapText="1"/>
    </xf>
    <xf numFmtId="0" fontId="0" fillId="0" borderId="13" xfId="0" applyBorder="1" applyAlignment="1">
      <alignment horizontal="left" vertical="center" wrapText="1"/>
    </xf>
    <xf numFmtId="10" fontId="0" fillId="0" borderId="13" xfId="0" applyNumberFormat="1" applyBorder="1" applyAlignment="1">
      <alignment horizontal="center" vertical="top" wrapText="1"/>
    </xf>
    <xf numFmtId="0" fontId="0" fillId="0" borderId="14" xfId="0" applyBorder="1" applyAlignment="1">
      <alignment horizontal="center"/>
    </xf>
    <xf numFmtId="0" fontId="0" fillId="0" borderId="2" xfId="17" applyNumberFormat="1" applyFont="1" applyFill="1" applyBorder="1" applyAlignment="1" applyProtection="1">
      <alignment horizontal="right"/>
      <protection/>
    </xf>
    <xf numFmtId="0" fontId="1" fillId="0" borderId="0" xfId="0" applyFont="1" applyAlignment="1">
      <alignment/>
    </xf>
    <xf numFmtId="44" fontId="1" fillId="0" borderId="10" xfId="17" applyNumberFormat="1" applyFont="1" applyFill="1" applyBorder="1" applyAlignment="1">
      <alignment horizontal="center"/>
    </xf>
    <xf numFmtId="173" fontId="2" fillId="0" borderId="9" xfId="17" applyNumberFormat="1" applyFont="1" applyFill="1" applyBorder="1" applyAlignment="1">
      <alignment horizontal="right"/>
    </xf>
    <xf numFmtId="0" fontId="1" fillId="0" borderId="9" xfId="0" applyFont="1" applyFill="1" applyBorder="1" applyAlignment="1">
      <alignment/>
    </xf>
    <xf numFmtId="0" fontId="1" fillId="0" borderId="0" xfId="0" applyFont="1" applyFill="1" applyBorder="1" applyAlignment="1" applyProtection="1">
      <alignment/>
      <protection/>
    </xf>
    <xf numFmtId="7" fontId="1" fillId="0" borderId="10" xfId="0" applyNumberFormat="1" applyFont="1" applyFill="1" applyBorder="1" applyAlignment="1" applyProtection="1">
      <alignment horizontal="left"/>
      <protection/>
    </xf>
    <xf numFmtId="0" fontId="0" fillId="0" borderId="9" xfId="0" applyBorder="1" applyAlignment="1">
      <alignment wrapText="1"/>
    </xf>
    <xf numFmtId="0" fontId="0" fillId="0" borderId="0" xfId="0" applyBorder="1" applyAlignment="1">
      <alignment wrapText="1"/>
    </xf>
    <xf numFmtId="0" fontId="0" fillId="0" borderId="10" xfId="0" applyBorder="1" applyAlignment="1">
      <alignment wrapText="1"/>
    </xf>
    <xf numFmtId="0" fontId="7" fillId="2" borderId="0" xfId="0" applyFont="1" applyFill="1" applyBorder="1" applyAlignment="1" applyProtection="1">
      <alignment horizontal="center"/>
      <protection locked="0"/>
    </xf>
    <xf numFmtId="0" fontId="0" fillId="0" borderId="0" xfId="0" applyAlignment="1">
      <alignment horizontal="center"/>
    </xf>
    <xf numFmtId="0" fontId="1" fillId="0" borderId="5" xfId="0" applyFont="1" applyFill="1" applyBorder="1" applyAlignment="1">
      <alignment horizontal="center"/>
    </xf>
    <xf numFmtId="0" fontId="0" fillId="0" borderId="6" xfId="0" applyBorder="1" applyAlignment="1">
      <alignment horizontal="center"/>
    </xf>
    <xf numFmtId="0" fontId="1" fillId="0" borderId="5" xfId="0" applyFont="1" applyFill="1" applyBorder="1" applyAlignment="1">
      <alignment wrapText="1"/>
    </xf>
    <xf numFmtId="0" fontId="0" fillId="0" borderId="3"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4" xfId="0" applyBorder="1" applyAlignment="1">
      <alignment wrapText="1"/>
    </xf>
    <xf numFmtId="0" fontId="0" fillId="0" borderId="8" xfId="0" applyBorder="1" applyAlignment="1">
      <alignment wrapText="1"/>
    </xf>
    <xf numFmtId="0" fontId="1" fillId="0" borderId="6" xfId="0" applyFont="1" applyBorder="1" applyAlignment="1">
      <alignment horizontal="center"/>
    </xf>
    <xf numFmtId="0" fontId="1" fillId="0" borderId="9" xfId="0" applyFont="1" applyFill="1" applyBorder="1" applyAlignment="1" applyProtection="1">
      <alignment wrapText="1"/>
      <protection/>
    </xf>
    <xf numFmtId="0" fontId="1" fillId="0" borderId="5" xfId="0" applyFont="1" applyFill="1" applyBorder="1" applyAlignment="1" applyProtection="1">
      <alignment wrapText="1"/>
      <protection/>
    </xf>
    <xf numFmtId="0" fontId="1" fillId="0" borderId="3"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4" xfId="0" applyFont="1" applyBorder="1" applyAlignment="1">
      <alignment wrapText="1"/>
    </xf>
    <xf numFmtId="0" fontId="1" fillId="0" borderId="8" xfId="0" applyFont="1" applyBorder="1" applyAlignment="1">
      <alignment wrapText="1"/>
    </xf>
    <xf numFmtId="0" fontId="4" fillId="0" borderId="0" xfId="20" applyFill="1" applyAlignment="1" applyProtection="1">
      <alignment/>
      <protection/>
    </xf>
    <xf numFmtId="0" fontId="4" fillId="0" borderId="0" xfId="20" applyAlignment="1">
      <alignment/>
    </xf>
    <xf numFmtId="0" fontId="1" fillId="0" borderId="9" xfId="0" applyFont="1" applyBorder="1" applyAlignment="1">
      <alignment wrapText="1"/>
    </xf>
    <xf numFmtId="0" fontId="1" fillId="0" borderId="0" xfId="0" applyFont="1" applyBorder="1" applyAlignment="1">
      <alignment wrapText="1"/>
    </xf>
    <xf numFmtId="0" fontId="1" fillId="0" borderId="10" xfId="0" applyFont="1" applyBorder="1" applyAlignment="1">
      <alignment wrapText="1"/>
    </xf>
    <xf numFmtId="0" fontId="1" fillId="0" borderId="3" xfId="0" applyFont="1" applyFill="1" applyBorder="1" applyAlignment="1" applyProtection="1">
      <alignment wrapText="1"/>
      <protection/>
    </xf>
    <xf numFmtId="0" fontId="1" fillId="0" borderId="6" xfId="0" applyFont="1" applyFill="1" applyBorder="1" applyAlignment="1" applyProtection="1">
      <alignment wrapText="1"/>
      <protection/>
    </xf>
    <xf numFmtId="0" fontId="1" fillId="0" borderId="0" xfId="0" applyFont="1" applyFill="1" applyBorder="1" applyAlignment="1" applyProtection="1">
      <alignment wrapText="1"/>
      <protection/>
    </xf>
    <xf numFmtId="0" fontId="1" fillId="0" borderId="10" xfId="0" applyFont="1" applyFill="1" applyBorder="1" applyAlignment="1" applyProtection="1">
      <alignment wrapText="1"/>
      <protection/>
    </xf>
    <xf numFmtId="0" fontId="0" fillId="0" borderId="7" xfId="0" applyBorder="1" applyAlignment="1">
      <alignment/>
    </xf>
    <xf numFmtId="0" fontId="0" fillId="0" borderId="4" xfId="0" applyBorder="1" applyAlignment="1">
      <alignment/>
    </xf>
    <xf numFmtId="0" fontId="0" fillId="0" borderId="8" xfId="0" applyBorder="1" applyAlignment="1">
      <alignment/>
    </xf>
    <xf numFmtId="0" fontId="3" fillId="0" borderId="5" xfId="0" applyFont="1" applyFill="1" applyBorder="1" applyAlignment="1">
      <alignment horizontal="center"/>
    </xf>
    <xf numFmtId="0" fontId="6" fillId="0" borderId="0" xfId="0" applyFont="1" applyFill="1" applyAlignment="1" applyProtection="1">
      <alignment horizontal="center"/>
      <protection/>
    </xf>
    <xf numFmtId="0" fontId="4" fillId="0" borderId="0" xfId="20" applyFill="1" applyAlignment="1" applyProtection="1">
      <alignment horizontal="center"/>
      <protection/>
    </xf>
    <xf numFmtId="0" fontId="4" fillId="0" borderId="0" xfId="20" applyFill="1" applyAlignment="1" applyProtection="1">
      <alignment horizontal="left"/>
      <protection/>
    </xf>
    <xf numFmtId="0" fontId="0" fillId="0" borderId="0" xfId="0" applyAlignment="1">
      <alignment horizontal="left"/>
    </xf>
    <xf numFmtId="0" fontId="0" fillId="0" borderId="0" xfId="0" applyAlignment="1">
      <alignment/>
    </xf>
    <xf numFmtId="0" fontId="1" fillId="0" borderId="9" xfId="0" applyFont="1" applyFill="1" applyBorder="1" applyAlignment="1">
      <alignment horizontal="center"/>
    </xf>
    <xf numFmtId="0" fontId="1" fillId="0" borderId="10" xfId="0" applyFont="1" applyBorder="1" applyAlignment="1">
      <alignment horizontal="center"/>
    </xf>
    <xf numFmtId="0" fontId="0" fillId="0" borderId="0" xfId="0" applyFont="1" applyBorder="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nthony.fanchi\Local%20Settings\Temporary%20Internet%20Files\OLK5D\2008%20Pay%20Program%20-%20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Page"/>
      <sheetName val="Previous GS Pay"/>
      <sheetName val="GS Pay Calculator"/>
      <sheetName val="GS Pay - No Locality"/>
      <sheetName val="Previous Locality Rates"/>
      <sheetName val="Locality Rates"/>
      <sheetName val="Special Rates"/>
      <sheetName val="GS Pay Scale"/>
      <sheetName val="Shift Firefighters"/>
      <sheetName val="Fire Chiefs, Fire Inspectors"/>
    </sheetNames>
    <sheetDataSet>
      <sheetData sheetId="5">
        <row r="2">
          <cell r="A2" t="str">
            <v>Basic Pay (No Locality or COLA)</v>
          </cell>
        </row>
        <row r="3">
          <cell r="A3" t="str">
            <v>Rest of U.S.</v>
          </cell>
        </row>
        <row r="4">
          <cell r="A4" t="str">
            <v>Atlanta-Sandy Springs-Gainesville, GA-AL</v>
          </cell>
        </row>
        <row r="5">
          <cell r="A5" t="str">
            <v>Boston-Worcester-Manchester, MA-NH-ME-RI</v>
          </cell>
        </row>
        <row r="6">
          <cell r="A6" t="str">
            <v>Buffalo-Niagara-Cattaraugus, NY</v>
          </cell>
        </row>
        <row r="7">
          <cell r="A7" t="str">
            <v>Chicago-Naperville-Michigan City, IL-IN-WI</v>
          </cell>
        </row>
        <row r="8">
          <cell r="A8" t="str">
            <v>Cincinnati-Middletown-Wilmington, OH-KY-IN</v>
          </cell>
        </row>
        <row r="9">
          <cell r="A9" t="str">
            <v>Cleveland-Akron-Elyria, OH</v>
          </cell>
        </row>
        <row r="10">
          <cell r="A10" t="str">
            <v>Columbus-Marion-Chillicothe, OH</v>
          </cell>
        </row>
        <row r="11">
          <cell r="A11" t="str">
            <v>Dallas-Fort Worth, TX</v>
          </cell>
        </row>
        <row r="12">
          <cell r="A12" t="str">
            <v>Dayton-Springfield-Greenville, OH</v>
          </cell>
        </row>
        <row r="13">
          <cell r="A13" t="str">
            <v>Denver-Aurora-Boulder, CO</v>
          </cell>
        </row>
        <row r="14">
          <cell r="A14" t="str">
            <v>Detroit-Warren-Flint, MI</v>
          </cell>
        </row>
        <row r="15">
          <cell r="A15" t="str">
            <v>Hartford-West Hartford-Willimantic, CT-MA</v>
          </cell>
        </row>
        <row r="16">
          <cell r="A16" t="str">
            <v>Houston-Baytown-Huntsville, TX</v>
          </cell>
        </row>
        <row r="17">
          <cell r="A17" t="str">
            <v>Huntsville-Decatur, AL</v>
          </cell>
        </row>
        <row r="18">
          <cell r="A18" t="str">
            <v>Indianapolis-Anderson-Columbus, IN</v>
          </cell>
        </row>
        <row r="19">
          <cell r="A19" t="str">
            <v>Los Angeles-Long Beach-Riverside, CA</v>
          </cell>
        </row>
        <row r="20">
          <cell r="A20" t="str">
            <v>Miami-Fort Lauderdale-Miami Beach, FL</v>
          </cell>
        </row>
        <row r="21">
          <cell r="A21" t="str">
            <v>Milwaukee-Racine-Waukesha, WI</v>
          </cell>
        </row>
        <row r="22">
          <cell r="A22" t="str">
            <v>Minneapolis-St. Paul-St. Cloud, MN-WI</v>
          </cell>
        </row>
        <row r="23">
          <cell r="A23" t="str">
            <v>New York-Newark-Bridgeport, NY-NJ-CT-PA</v>
          </cell>
        </row>
        <row r="24">
          <cell r="A24" t="str">
            <v>Philadelphia-Camden-Vineland, PA-NJ-DE-MD</v>
          </cell>
        </row>
        <row r="25">
          <cell r="A25" t="str">
            <v>Phoenix-Mesa-Scottsdale, AZ</v>
          </cell>
        </row>
        <row r="26">
          <cell r="A26" t="str">
            <v>Pittsburgh-New Castle, PA</v>
          </cell>
        </row>
        <row r="27">
          <cell r="A27" t="str">
            <v>Portland-Vancouver-Beaverton, OR-WA</v>
          </cell>
        </row>
        <row r="28">
          <cell r="A28" t="str">
            <v>Raleigh-Durham-Cary, NC</v>
          </cell>
        </row>
        <row r="29">
          <cell r="A29" t="str">
            <v>Richmond, VA</v>
          </cell>
        </row>
        <row r="30">
          <cell r="A30" t="str">
            <v>Sacramento--Arden-Arcade--Truckee, CA-NV</v>
          </cell>
        </row>
        <row r="31">
          <cell r="A31" t="str">
            <v>San Diego-Carlsbad-San Marcos, CA</v>
          </cell>
        </row>
        <row r="32">
          <cell r="A32" t="str">
            <v>San Jose-San Francisco-Oakland, CA</v>
          </cell>
        </row>
        <row r="33">
          <cell r="A33" t="str">
            <v>Seattle-Tacoma-Olympia, WA</v>
          </cell>
        </row>
        <row r="34">
          <cell r="A34" t="str">
            <v>Washington-Baltimore-Northern Virginia, DC-MD-PA-VA-WV</v>
          </cell>
        </row>
        <row r="35">
          <cell r="A35" t="str">
            <v>Anchorage </v>
          </cell>
        </row>
        <row r="36">
          <cell r="A36" t="str">
            <v>Fairbanks</v>
          </cell>
        </row>
        <row r="37">
          <cell r="A37" t="str">
            <v>Juneau</v>
          </cell>
        </row>
        <row r="38">
          <cell r="A38" t="str">
            <v>Rest of Alaska</v>
          </cell>
        </row>
        <row r="39">
          <cell r="A39" t="str">
            <v>Honolulu</v>
          </cell>
        </row>
        <row r="40">
          <cell r="A40" t="str">
            <v>Hawaii (County)</v>
          </cell>
        </row>
        <row r="41">
          <cell r="A41" t="str">
            <v>Kauai</v>
          </cell>
        </row>
        <row r="42">
          <cell r="A42" t="str">
            <v>Maui and Kalawao</v>
          </cell>
        </row>
        <row r="43">
          <cell r="A43" t="str">
            <v>Puerto Rico</v>
          </cell>
        </row>
        <row r="44">
          <cell r="A44" t="str">
            <v>U.S. Virgin Islands</v>
          </cell>
        </row>
        <row r="45">
          <cell r="A45" t="str">
            <v>American Samoa</v>
          </cell>
        </row>
        <row r="46">
          <cell r="A46" t="str">
            <v>Johnston and Sand Island</v>
          </cell>
        </row>
        <row r="47">
          <cell r="A47" t="str">
            <v>Midway Islands</v>
          </cell>
        </row>
        <row r="48">
          <cell r="A48" t="str">
            <v>Guam and Northern Mariana Islands</v>
          </cell>
        </row>
        <row r="49">
          <cell r="A49" t="str">
            <v>Wake Island</v>
          </cell>
        </row>
        <row r="50">
          <cell r="A50" t="str">
            <v>Kansas City</v>
          </cell>
        </row>
        <row r="51">
          <cell r="A51" t="str">
            <v>Orlando</v>
          </cell>
        </row>
        <row r="52">
          <cell r="A52" t="str">
            <v>St. Louis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pms.osd.mil/nsps/conversion/index.html" TargetMode="External" /><Relationship Id="rId2" Type="http://schemas.openxmlformats.org/officeDocument/2006/relationships/hyperlink" Target="mailto:anthony.fanchi@us.army.mil" TargetMode="External" /><Relationship Id="rId3" Type="http://schemas.openxmlformats.org/officeDocument/2006/relationships/hyperlink" Target="http://www.opm.gov/" TargetMode="External" /><Relationship Id="rId4" Type="http://schemas.openxmlformats.org/officeDocument/2006/relationships/hyperlink" Target="http://www.opm.gov/"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image" Target="../media/image1.png"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26"/>
  <sheetViews>
    <sheetView showGridLines="0" tabSelected="1" workbookViewId="0" topLeftCell="A1">
      <selection activeCell="C19" sqref="C19"/>
    </sheetView>
  </sheetViews>
  <sheetFormatPr defaultColWidth="9.140625" defaultRowHeight="12.75"/>
  <cols>
    <col min="1" max="2" width="10.7109375" style="4" customWidth="1"/>
    <col min="3" max="3" width="15.7109375" style="4" customWidth="1"/>
    <col min="4" max="11" width="10.7109375" style="4" customWidth="1"/>
    <col min="12" max="16384" width="9.140625" style="4" customWidth="1"/>
  </cols>
  <sheetData>
    <row r="1" spans="1:11" ht="36.75" customHeight="1">
      <c r="A1" s="125" t="s">
        <v>6</v>
      </c>
      <c r="B1" s="95"/>
      <c r="C1" s="95"/>
      <c r="D1" s="95"/>
      <c r="E1" s="95"/>
      <c r="F1" s="95"/>
      <c r="G1" s="95"/>
      <c r="H1" s="95"/>
      <c r="I1" s="95"/>
      <c r="J1" s="95"/>
      <c r="K1" s="3"/>
    </row>
    <row r="2" spans="1:10" ht="12.75">
      <c r="A2" s="126" t="s">
        <v>5</v>
      </c>
      <c r="B2" s="113"/>
      <c r="C2" s="113"/>
      <c r="D2" s="113"/>
      <c r="E2" s="113"/>
      <c r="F2" s="113"/>
      <c r="G2" s="113"/>
      <c r="H2" s="113"/>
      <c r="I2" s="113"/>
      <c r="J2" s="113"/>
    </row>
    <row r="3" ht="12.75"/>
    <row r="4" spans="1:11" ht="12.75">
      <c r="A4" s="5" t="s">
        <v>26</v>
      </c>
      <c r="G4" s="6"/>
      <c r="J4" s="9"/>
      <c r="K4" s="15"/>
    </row>
    <row r="5" spans="1:9" ht="12.75">
      <c r="A5" s="4" t="s">
        <v>28</v>
      </c>
      <c r="I5" s="9"/>
    </row>
    <row r="6" spans="1:6" ht="12.75">
      <c r="A6" s="4" t="s">
        <v>27</v>
      </c>
      <c r="F6" s="7"/>
    </row>
    <row r="7" spans="1:10" ht="12.75">
      <c r="A7" s="22" t="s">
        <v>70</v>
      </c>
      <c r="J7" s="9"/>
    </row>
    <row r="8" ht="12.75"/>
    <row r="9" ht="12.75">
      <c r="A9" s="4" t="s">
        <v>34</v>
      </c>
    </row>
    <row r="10" ht="12.75">
      <c r="A10" s="11" t="s">
        <v>35</v>
      </c>
    </row>
    <row r="11" ht="12.75">
      <c r="A11" s="11" t="s">
        <v>36</v>
      </c>
    </row>
    <row r="12" ht="12.75"/>
    <row r="13" ht="12.75">
      <c r="A13" s="5" t="s">
        <v>19</v>
      </c>
    </row>
    <row r="14" ht="12.75">
      <c r="A14" s="4" t="s">
        <v>4</v>
      </c>
    </row>
    <row r="15" ht="12.75">
      <c r="A15" s="4" t="s">
        <v>24</v>
      </c>
    </row>
    <row r="16" spans="1:15" ht="12.75">
      <c r="A16" s="4" t="s">
        <v>29</v>
      </c>
      <c r="O16" s="33"/>
    </row>
    <row r="17" ht="12.75">
      <c r="A17" s="4" t="s">
        <v>18</v>
      </c>
    </row>
    <row r="18" ht="12.75"/>
    <row r="19" spans="1:6" ht="12.75">
      <c r="A19" s="4" t="s">
        <v>20</v>
      </c>
      <c r="C19" s="21" t="s">
        <v>12</v>
      </c>
      <c r="F19" s="9">
        <f>IF(C19="","Error!  Select a schedule.","")</f>
      </c>
    </row>
    <row r="20" ht="12.75">
      <c r="H20" s="8"/>
    </row>
    <row r="21" spans="1:9" ht="12.75">
      <c r="A21" s="4" t="s">
        <v>21</v>
      </c>
      <c r="C21" s="13">
        <v>72</v>
      </c>
      <c r="F21" s="9">
        <f>IF(C21="","Error!  Select a number.","")</f>
      </c>
      <c r="I21" s="10"/>
    </row>
    <row r="22" ht="12.75"/>
    <row r="23" ht="12.75">
      <c r="A23" s="5" t="s">
        <v>22</v>
      </c>
    </row>
    <row r="24" ht="12.75">
      <c r="A24" s="4" t="s">
        <v>23</v>
      </c>
    </row>
    <row r="25" ht="12.75"/>
    <row r="26" ht="12.75">
      <c r="A26" s="5" t="s">
        <v>7</v>
      </c>
    </row>
    <row r="27" ht="12.75">
      <c r="A27" s="5" t="s">
        <v>8</v>
      </c>
    </row>
    <row r="28" ht="12.75">
      <c r="A28" s="11"/>
    </row>
    <row r="29" spans="1:6" ht="12.75">
      <c r="A29" s="4" t="s">
        <v>9</v>
      </c>
      <c r="C29" s="2">
        <v>13.86</v>
      </c>
      <c r="D29" s="9" t="s">
        <v>81</v>
      </c>
      <c r="F29" s="9"/>
    </row>
    <row r="30" ht="12.75">
      <c r="C30" s="12"/>
    </row>
    <row r="31" spans="1:3" ht="12.75">
      <c r="A31" s="5" t="s">
        <v>102</v>
      </c>
      <c r="C31" s="12"/>
    </row>
    <row r="32" spans="1:3" ht="12.75">
      <c r="A32" s="4" t="s">
        <v>103</v>
      </c>
      <c r="C32" s="12"/>
    </row>
    <row r="33" ht="12.75">
      <c r="C33" s="12"/>
    </row>
    <row r="34" spans="1:3" ht="12.75">
      <c r="A34" s="5" t="s">
        <v>110</v>
      </c>
      <c r="C34" s="12"/>
    </row>
    <row r="35" ht="12.75">
      <c r="C35" s="12"/>
    </row>
    <row r="36" spans="1:8" ht="12.75">
      <c r="A36" s="4" t="s">
        <v>82</v>
      </c>
      <c r="C36" s="94" t="s">
        <v>104</v>
      </c>
      <c r="D36" s="95"/>
      <c r="E36" s="95"/>
      <c r="F36" s="85" t="s">
        <v>105</v>
      </c>
      <c r="G36" s="75"/>
      <c r="H36" s="5"/>
    </row>
    <row r="37" spans="3:5" ht="12.75">
      <c r="C37" s="76"/>
      <c r="D37" s="5"/>
      <c r="E37" s="5"/>
    </row>
    <row r="38" spans="1:8" ht="12.75">
      <c r="A38" s="4" t="s">
        <v>83</v>
      </c>
      <c r="C38" s="77">
        <f>IF(G38="",VLOOKUP(C36,Data!H2:I17,2,FALSE),G38/100)</f>
        <v>0</v>
      </c>
      <c r="D38" s="9"/>
      <c r="G38" s="78"/>
      <c r="H38" s="5" t="s">
        <v>101</v>
      </c>
    </row>
    <row r="39" ht="12.75">
      <c r="C39" s="12"/>
    </row>
    <row r="40" ht="12.75">
      <c r="A40" s="5" t="s">
        <v>0</v>
      </c>
    </row>
    <row r="41" ht="12.75">
      <c r="A41" s="4" t="s">
        <v>1</v>
      </c>
    </row>
    <row r="42" ht="12.75">
      <c r="A42" s="4" t="s">
        <v>2</v>
      </c>
    </row>
    <row r="43" ht="12.75"/>
    <row r="44" spans="1:6" ht="12.75">
      <c r="A44" s="4" t="s">
        <v>3</v>
      </c>
      <c r="C44" s="14">
        <v>26</v>
      </c>
      <c r="E44" s="10"/>
      <c r="F44" s="9">
        <f>IF(C44="","Error!  Select a number.","")</f>
      </c>
    </row>
    <row r="45" ht="12.75">
      <c r="C45" s="12"/>
    </row>
    <row r="46" ht="12.75">
      <c r="A46" s="5" t="s">
        <v>37</v>
      </c>
    </row>
    <row r="47" s="11" customFormat="1" ht="12.75">
      <c r="A47" s="4" t="s">
        <v>71</v>
      </c>
    </row>
    <row r="48" s="11" customFormat="1" ht="12.75"/>
    <row r="49" s="11" customFormat="1" ht="12.75">
      <c r="A49" s="5" t="s">
        <v>10</v>
      </c>
    </row>
    <row r="50" s="11" customFormat="1" ht="12.75">
      <c r="A50" s="5" t="s">
        <v>25</v>
      </c>
    </row>
    <row r="51" s="11" customFormat="1" ht="12.75">
      <c r="A51" s="5"/>
    </row>
    <row r="52" s="11" customFormat="1" ht="12.75">
      <c r="A52" s="5" t="s">
        <v>31</v>
      </c>
    </row>
    <row r="53" spans="1:3" s="11" customFormat="1" ht="12.75">
      <c r="A53" s="127" t="s">
        <v>30</v>
      </c>
      <c r="B53" s="128"/>
      <c r="C53" s="129"/>
    </row>
    <row r="54" s="11" customFormat="1" ht="12.75">
      <c r="A54" s="5"/>
    </row>
    <row r="55" spans="1:6" s="11" customFormat="1" ht="12.75">
      <c r="A55" s="11" t="s">
        <v>11</v>
      </c>
      <c r="C55" s="17">
        <v>50000</v>
      </c>
      <c r="F55" s="9">
        <f>IF(C55&gt;0,"","Error!  I would like to think you are making something for your trouble.")</f>
      </c>
    </row>
    <row r="56" s="11" customFormat="1" ht="12.75"/>
    <row r="57" s="11" customFormat="1" ht="12.75">
      <c r="A57" s="5" t="s">
        <v>14</v>
      </c>
    </row>
    <row r="58" s="11" customFormat="1" ht="12.75">
      <c r="A58" s="5"/>
    </row>
    <row r="59" spans="1:10" s="11" customFormat="1" ht="12.75">
      <c r="A59" s="96" t="s">
        <v>17</v>
      </c>
      <c r="B59" s="104"/>
      <c r="C59" s="24">
        <f>ROUND(C55+(C55*(C29/100)),0)</f>
        <v>56930</v>
      </c>
      <c r="D59" s="98" t="s">
        <v>79</v>
      </c>
      <c r="E59" s="99"/>
      <c r="F59" s="99"/>
      <c r="G59" s="99"/>
      <c r="H59" s="99"/>
      <c r="I59" s="99"/>
      <c r="J59" s="100"/>
    </row>
    <row r="60" spans="1:10" s="11" customFormat="1" ht="12.75">
      <c r="A60" s="50"/>
      <c r="B60" s="73"/>
      <c r="C60" s="72"/>
      <c r="D60" s="91"/>
      <c r="E60" s="92"/>
      <c r="F60" s="92"/>
      <c r="G60" s="92"/>
      <c r="H60" s="92"/>
      <c r="I60" s="92"/>
      <c r="J60" s="93"/>
    </row>
    <row r="61" spans="1:10" s="11" customFormat="1" ht="12.75">
      <c r="A61" s="32"/>
      <c r="B61" s="74"/>
      <c r="C61" s="25"/>
      <c r="D61" s="101"/>
      <c r="E61" s="102"/>
      <c r="F61" s="102"/>
      <c r="G61" s="102"/>
      <c r="H61" s="102"/>
      <c r="I61" s="102"/>
      <c r="J61" s="103"/>
    </row>
    <row r="62" spans="1:10" s="11" customFormat="1" ht="12.75">
      <c r="A62" s="130" t="s">
        <v>39</v>
      </c>
      <c r="B62" s="131"/>
      <c r="C62" s="67">
        <f>IF(C19="Shift",0,C64*80)</f>
        <v>0</v>
      </c>
      <c r="D62" s="105" t="str">
        <f>IF(C19=Data!A2,Data!A24,Data!A26)</f>
        <v>Normal Pay &amp; Rate are not applicable for a 24-hour shift schedule</v>
      </c>
      <c r="E62" s="92"/>
      <c r="F62" s="92"/>
      <c r="G62" s="92"/>
      <c r="H62" s="92"/>
      <c r="I62" s="92"/>
      <c r="J62" s="93"/>
    </row>
    <row r="63" spans="1:10" s="11" customFormat="1" ht="12.75">
      <c r="A63" s="38">
        <f>IF(C19=Data!A2,"",80)</f>
      </c>
      <c r="B63" s="39">
        <f>IF(C19=Data!A2,"","Hours")</f>
      </c>
      <c r="C63" s="35"/>
      <c r="D63" s="101"/>
      <c r="E63" s="102"/>
      <c r="F63" s="102"/>
      <c r="G63" s="102"/>
      <c r="H63" s="102"/>
      <c r="I63" s="102"/>
      <c r="J63" s="103"/>
    </row>
    <row r="64" spans="1:10" s="11" customFormat="1" ht="12.75">
      <c r="A64" s="96" t="s">
        <v>40</v>
      </c>
      <c r="B64" s="131"/>
      <c r="C64" s="26">
        <f>IF(C19="Shift",0,ROUND(C59/2087,2))</f>
        <v>0</v>
      </c>
      <c r="D64" s="106">
        <f>IF(C19=Data!A2,"",Data!A29)</f>
      </c>
      <c r="E64" s="99"/>
      <c r="F64" s="99"/>
      <c r="G64" s="99"/>
      <c r="H64" s="99"/>
      <c r="I64" s="99"/>
      <c r="J64" s="100"/>
    </row>
    <row r="65" spans="1:10" s="11" customFormat="1" ht="12.75">
      <c r="A65" s="50"/>
      <c r="B65" s="51"/>
      <c r="C65" s="27"/>
      <c r="D65" s="101"/>
      <c r="E65" s="102"/>
      <c r="F65" s="102"/>
      <c r="G65" s="102"/>
      <c r="H65" s="102"/>
      <c r="I65" s="102"/>
      <c r="J65" s="103"/>
    </row>
    <row r="66" spans="1:15" s="11" customFormat="1" ht="12.75">
      <c r="A66" s="96" t="s">
        <v>41</v>
      </c>
      <c r="B66" s="104"/>
      <c r="C66" s="34">
        <f>IF(C19="Shift",C68*106,C68*26)</f>
        <v>2189.96</v>
      </c>
      <c r="D66" s="106" t="str">
        <f>IF(C19=Data!A2,Data!A32,Data!A35)</f>
        <v>Firefighter Pay refers to the base pay earned for 106 hours a pay period (53 a week).  On your LES, it is referred to as "REGULAR PAY."</v>
      </c>
      <c r="E66" s="107"/>
      <c r="F66" s="107"/>
      <c r="G66" s="107"/>
      <c r="H66" s="107"/>
      <c r="I66" s="107"/>
      <c r="J66" s="108"/>
      <c r="N66" s="36"/>
      <c r="O66" s="37"/>
    </row>
    <row r="67" spans="1:10" s="11" customFormat="1" ht="12.75">
      <c r="A67" s="38">
        <f>IF(C19=Data!A2,106,26)</f>
        <v>106</v>
      </c>
      <c r="B67" s="39" t="s">
        <v>38</v>
      </c>
      <c r="C67" s="35"/>
      <c r="D67" s="109"/>
      <c r="E67" s="110"/>
      <c r="F67" s="110"/>
      <c r="G67" s="110"/>
      <c r="H67" s="110"/>
      <c r="I67" s="110"/>
      <c r="J67" s="111"/>
    </row>
    <row r="68" spans="1:10" s="11" customFormat="1" ht="12.75">
      <c r="A68" s="96" t="s">
        <v>42</v>
      </c>
      <c r="B68" s="104"/>
      <c r="C68" s="26">
        <f>ROUND(C59/2756,2)</f>
        <v>20.66</v>
      </c>
      <c r="D68" s="106" t="str">
        <f>IF(C19=Data!A2,Data!A38,Data!A41)</f>
        <v>Firefighter Rate refers to the hourly pay actually received for those 106 hours.  It is less than the normal NSPS rate.</v>
      </c>
      <c r="E68" s="107"/>
      <c r="F68" s="107"/>
      <c r="G68" s="107"/>
      <c r="H68" s="107"/>
      <c r="I68" s="107"/>
      <c r="J68" s="108"/>
    </row>
    <row r="69" spans="1:10" s="11" customFormat="1" ht="12.75">
      <c r="A69" s="32"/>
      <c r="B69" s="52"/>
      <c r="C69" s="27"/>
      <c r="D69" s="109"/>
      <c r="E69" s="110"/>
      <c r="F69" s="110"/>
      <c r="G69" s="110"/>
      <c r="H69" s="110"/>
      <c r="I69" s="110"/>
      <c r="J69" s="111"/>
    </row>
    <row r="70" spans="1:10" s="11" customFormat="1" ht="12.75">
      <c r="A70" s="96" t="s">
        <v>43</v>
      </c>
      <c r="B70" s="104"/>
      <c r="C70" s="26">
        <f>C72*((C21-53)*2)</f>
        <v>1177.62</v>
      </c>
      <c r="D70" s="106" t="str">
        <f>IF(C19=Data!A3,IF('Pay Calculator'!C21=Data!A6,Data!A47,Data!A44),Data!A44)</f>
        <v>Overtime Pay refers to pay earned for all hours beyond 106.  On your LES, it is referred to as "OT IN TOUR."</v>
      </c>
      <c r="E70" s="99"/>
      <c r="F70" s="99"/>
      <c r="G70" s="99"/>
      <c r="H70" s="99"/>
      <c r="I70" s="99"/>
      <c r="J70" s="100"/>
    </row>
    <row r="71" spans="1:10" s="11" customFormat="1" ht="12.75">
      <c r="A71" s="38">
        <f>(C21-53)*2</f>
        <v>38</v>
      </c>
      <c r="B71" s="40" t="s">
        <v>38</v>
      </c>
      <c r="C71" s="27"/>
      <c r="D71" s="91"/>
      <c r="E71" s="92"/>
      <c r="F71" s="92"/>
      <c r="G71" s="92"/>
      <c r="H71" s="92"/>
      <c r="I71" s="92"/>
      <c r="J71" s="93"/>
    </row>
    <row r="72" spans="1:10" s="11" customFormat="1" ht="12.75">
      <c r="A72" s="96" t="s">
        <v>44</v>
      </c>
      <c r="B72" s="104"/>
      <c r="C72" s="46">
        <f>IF(ROUND(C68*1.5,2)&lt;Data!A21,ROUND(C68*1.5,2),IF(Data!A21&lt;C68,C68,Data!A21))</f>
        <v>30.99</v>
      </c>
      <c r="D72" s="30" t="s">
        <v>55</v>
      </c>
      <c r="E72" s="28"/>
      <c r="F72" s="28"/>
      <c r="G72" s="28"/>
      <c r="H72" s="28"/>
      <c r="I72" s="28"/>
      <c r="J72" s="31"/>
    </row>
    <row r="73" spans="1:10" s="11" customFormat="1" ht="12.75">
      <c r="A73" s="32"/>
      <c r="B73" s="41"/>
      <c r="C73" s="47"/>
      <c r="D73" s="48" t="s">
        <v>56</v>
      </c>
      <c r="E73" s="29"/>
      <c r="F73" s="29"/>
      <c r="G73" s="29"/>
      <c r="H73" s="29"/>
      <c r="I73" s="29"/>
      <c r="J73" s="49">
        <f>Data!A21</f>
        <v>36.9</v>
      </c>
    </row>
    <row r="74" spans="1:10" s="11" customFormat="1" ht="12.75">
      <c r="A74" s="96" t="s">
        <v>106</v>
      </c>
      <c r="B74" s="97"/>
      <c r="C74" s="87">
        <f>IF(C19="Shift",ROUND(C68*C38,2)*(C21*2),(ROUND(C64*C38,2)*80)+(ROUND(C68*C38,2)*((C21*2)-80)))</f>
        <v>0</v>
      </c>
      <c r="D74" s="88" t="s">
        <v>107</v>
      </c>
      <c r="E74" s="89"/>
      <c r="F74" s="89"/>
      <c r="G74" s="89"/>
      <c r="H74" s="89"/>
      <c r="I74" s="89"/>
      <c r="J74" s="90"/>
    </row>
    <row r="75" spans="1:10" s="11" customFormat="1" ht="12.75">
      <c r="A75" s="50"/>
      <c r="B75" s="86"/>
      <c r="C75" s="87"/>
      <c r="D75" s="88" t="s">
        <v>108</v>
      </c>
      <c r="E75" s="89"/>
      <c r="F75" s="89"/>
      <c r="G75" s="89"/>
      <c r="H75" s="89"/>
      <c r="I75" s="89"/>
      <c r="J75" s="90"/>
    </row>
    <row r="76" spans="1:10" s="11" customFormat="1" ht="12.75">
      <c r="A76" s="96" t="s">
        <v>15</v>
      </c>
      <c r="B76" s="104"/>
      <c r="C76" s="26">
        <f>C62+C66+C70+C74</f>
        <v>3367.58</v>
      </c>
      <c r="D76" s="106" t="s">
        <v>59</v>
      </c>
      <c r="E76" s="107"/>
      <c r="F76" s="107"/>
      <c r="G76" s="107"/>
      <c r="H76" s="107"/>
      <c r="I76" s="107"/>
      <c r="J76" s="108"/>
    </row>
    <row r="77" spans="1:10" s="11" customFormat="1" ht="12.75">
      <c r="A77" s="32"/>
      <c r="B77" s="42"/>
      <c r="C77" s="27"/>
      <c r="D77" s="109"/>
      <c r="E77" s="110"/>
      <c r="F77" s="110"/>
      <c r="G77" s="110"/>
      <c r="H77" s="110"/>
      <c r="I77" s="110"/>
      <c r="J77" s="111"/>
    </row>
    <row r="78" spans="1:10" s="11" customFormat="1" ht="12.75">
      <c r="A78" s="96" t="s">
        <v>16</v>
      </c>
      <c r="B78" s="104"/>
      <c r="C78" s="26">
        <f>C76*C44</f>
        <v>87557.08</v>
      </c>
      <c r="D78" s="106" t="s">
        <v>58</v>
      </c>
      <c r="E78" s="107"/>
      <c r="F78" s="107"/>
      <c r="G78" s="107"/>
      <c r="H78" s="107"/>
      <c r="I78" s="107"/>
      <c r="J78" s="108"/>
    </row>
    <row r="79" spans="1:10" s="11" customFormat="1" ht="12.75">
      <c r="A79" s="50"/>
      <c r="B79" s="66"/>
      <c r="C79" s="67"/>
      <c r="D79" s="114"/>
      <c r="E79" s="115"/>
      <c r="F79" s="115"/>
      <c r="G79" s="115"/>
      <c r="H79" s="115"/>
      <c r="I79" s="115"/>
      <c r="J79" s="116"/>
    </row>
    <row r="80" spans="1:10" s="11" customFormat="1" ht="12.75" customHeight="1">
      <c r="A80" s="124" t="s">
        <v>78</v>
      </c>
      <c r="B80" s="104"/>
      <c r="C80" s="53">
        <f>IF(C19="Shift",(C68*(C21*2))*C44,((C64*80)+(C68*((C21*2)-80)))*C44)</f>
        <v>77351.04</v>
      </c>
      <c r="D80" s="106" t="s">
        <v>80</v>
      </c>
      <c r="E80" s="117"/>
      <c r="F80" s="117"/>
      <c r="G80" s="117"/>
      <c r="H80" s="117"/>
      <c r="I80" s="117"/>
      <c r="J80" s="118"/>
    </row>
    <row r="81" spans="1:10" s="11" customFormat="1" ht="12.75">
      <c r="A81" s="68"/>
      <c r="B81" s="66"/>
      <c r="C81" s="71"/>
      <c r="D81" s="105"/>
      <c r="E81" s="119"/>
      <c r="F81" s="119"/>
      <c r="G81" s="119"/>
      <c r="H81" s="119"/>
      <c r="I81" s="119"/>
      <c r="J81" s="120"/>
    </row>
    <row r="82" spans="1:10" s="11" customFormat="1" ht="12.75">
      <c r="A82" s="69"/>
      <c r="B82" s="70"/>
      <c r="C82" s="84"/>
      <c r="D82" s="121"/>
      <c r="E82" s="122"/>
      <c r="F82" s="122"/>
      <c r="G82" s="122"/>
      <c r="H82" s="122"/>
      <c r="I82" s="122"/>
      <c r="J82" s="123"/>
    </row>
    <row r="83" spans="1:4" s="11" customFormat="1" ht="12.75">
      <c r="A83" s="1"/>
      <c r="B83" s="16"/>
      <c r="C83" s="23"/>
      <c r="D83" s="16"/>
    </row>
    <row r="84" ht="12.75">
      <c r="A84" s="5" t="s">
        <v>60</v>
      </c>
    </row>
    <row r="85" ht="12.75">
      <c r="A85" s="11" t="s">
        <v>61</v>
      </c>
    </row>
    <row r="86" ht="12.75">
      <c r="A86" s="11" t="s">
        <v>62</v>
      </c>
    </row>
    <row r="87" ht="12.75">
      <c r="A87" s="11" t="s">
        <v>73</v>
      </c>
    </row>
    <row r="89" spans="1:7" ht="12.75">
      <c r="A89" s="11" t="s">
        <v>72</v>
      </c>
      <c r="B89" s="54"/>
      <c r="E89" s="112" t="s">
        <v>63</v>
      </c>
      <c r="F89" s="113"/>
      <c r="G89" s="4" t="s">
        <v>74</v>
      </c>
    </row>
    <row r="90" spans="1:2" ht="12.75">
      <c r="A90" s="65" t="s">
        <v>75</v>
      </c>
      <c r="B90" s="54"/>
    </row>
    <row r="91" spans="1:5" s="56" customFormat="1" ht="12.75">
      <c r="A91" s="60" t="s">
        <v>76</v>
      </c>
      <c r="E91" s="57"/>
    </row>
    <row r="92" spans="1:6" s="56" customFormat="1" ht="12.75">
      <c r="A92" s="60"/>
      <c r="F92" s="58"/>
    </row>
    <row r="93" spans="1:6" s="56" customFormat="1" ht="12.75">
      <c r="A93" s="60"/>
      <c r="F93" s="58"/>
    </row>
    <row r="94" spans="1:6" s="56" customFormat="1" ht="12.75">
      <c r="A94" s="55" t="s">
        <v>64</v>
      </c>
      <c r="C94" s="64">
        <v>45095</v>
      </c>
      <c r="D94" s="57" t="s">
        <v>77</v>
      </c>
      <c r="F94" s="58"/>
    </row>
    <row r="95" spans="1:6" s="56" customFormat="1" ht="12.75">
      <c r="A95" s="55" t="s">
        <v>48</v>
      </c>
      <c r="F95" s="58"/>
    </row>
    <row r="96" spans="1:6" s="56" customFormat="1" ht="12.75">
      <c r="A96" s="55"/>
      <c r="F96" s="58"/>
    </row>
    <row r="97" spans="1:6" s="56" customFormat="1" ht="12.75">
      <c r="A97" s="55"/>
      <c r="F97" s="58"/>
    </row>
    <row r="98" spans="1:6" s="56" customFormat="1" ht="12.75">
      <c r="A98" s="55"/>
      <c r="F98" s="58"/>
    </row>
    <row r="99" spans="1:6" s="56" customFormat="1" ht="12.75">
      <c r="A99" s="55"/>
      <c r="F99" s="58"/>
    </row>
    <row r="100" s="56" customFormat="1" ht="12.75"/>
    <row r="101" s="56" customFormat="1" ht="12.75"/>
    <row r="102" s="56" customFormat="1" ht="12.75"/>
    <row r="103" s="56" customFormat="1" ht="12.75"/>
    <row r="104" s="56" customFormat="1" ht="12.75"/>
    <row r="105" s="56" customFormat="1" ht="12.75"/>
    <row r="106" s="56" customFormat="1" ht="12.75">
      <c r="A106" s="55"/>
    </row>
    <row r="107" s="56" customFormat="1" ht="12.75">
      <c r="A107" s="55" t="s">
        <v>57</v>
      </c>
    </row>
    <row r="108" s="56" customFormat="1" ht="12.75">
      <c r="A108" s="55"/>
    </row>
    <row r="109" s="56" customFormat="1" ht="12.75">
      <c r="A109" s="55" t="s">
        <v>48</v>
      </c>
    </row>
    <row r="110" s="56" customFormat="1" ht="12.75">
      <c r="A110" s="55"/>
    </row>
    <row r="111" s="56" customFormat="1" ht="12.75">
      <c r="A111" s="55"/>
    </row>
    <row r="112" spans="1:6" s="56" customFormat="1" ht="12.75">
      <c r="A112" s="55"/>
      <c r="F112" s="58"/>
    </row>
    <row r="113" spans="1:6" s="56" customFormat="1" ht="12.75">
      <c r="A113" s="55"/>
      <c r="E113" s="57"/>
      <c r="F113" s="58"/>
    </row>
    <row r="114" spans="1:6" s="56" customFormat="1" ht="12.75">
      <c r="A114" s="55"/>
      <c r="F114" s="58"/>
    </row>
    <row r="115" spans="1:6" s="56" customFormat="1" ht="12.75">
      <c r="A115" s="55"/>
      <c r="F115" s="58"/>
    </row>
    <row r="116" spans="1:6" s="56" customFormat="1" ht="12.75">
      <c r="A116" s="55"/>
      <c r="F116" s="58"/>
    </row>
    <row r="117" spans="1:6" s="56" customFormat="1" ht="12.75">
      <c r="A117" s="55"/>
      <c r="F117" s="58"/>
    </row>
    <row r="118" spans="1:6" s="56" customFormat="1" ht="12.75">
      <c r="A118" s="55"/>
      <c r="F118" s="58"/>
    </row>
    <row r="119" spans="1:6" s="56" customFormat="1" ht="12.75">
      <c r="A119" s="55"/>
      <c r="F119" s="58"/>
    </row>
    <row r="120" spans="1:6" s="56" customFormat="1" ht="12.75">
      <c r="A120" s="55"/>
      <c r="F120" s="58"/>
    </row>
    <row r="121" spans="1:6" s="56" customFormat="1" ht="12.75">
      <c r="A121" s="55"/>
      <c r="F121" s="58"/>
    </row>
    <row r="122" spans="1:6" s="56" customFormat="1" ht="12.75">
      <c r="A122" s="55"/>
      <c r="F122" s="58"/>
    </row>
    <row r="123" s="56" customFormat="1" ht="12.75">
      <c r="A123" s="55"/>
    </row>
    <row r="124" s="56" customFormat="1" ht="12.75">
      <c r="A124" s="55"/>
    </row>
    <row r="125" s="56" customFormat="1" ht="12.75"/>
    <row r="126" spans="1:4" s="55" customFormat="1" ht="12.75">
      <c r="A126" s="59"/>
      <c r="B126" s="60"/>
      <c r="C126" s="18"/>
      <c r="D126" s="60"/>
    </row>
    <row r="127" s="56" customFormat="1" ht="12.75"/>
    <row r="128" s="56" customFormat="1" ht="12.75"/>
    <row r="129" s="56" customFormat="1" ht="12.75"/>
    <row r="130" s="56" customFormat="1" ht="12.75"/>
    <row r="131" s="56" customFormat="1" ht="12.75"/>
    <row r="132" s="56" customFormat="1" ht="12.75"/>
    <row r="133" s="56" customFormat="1" ht="12.75"/>
    <row r="134" s="56" customFormat="1" ht="12.75"/>
    <row r="135" s="56" customFormat="1" ht="12.75"/>
    <row r="136" s="56" customFormat="1" ht="12.75"/>
    <row r="137" s="56" customFormat="1" ht="12.75"/>
    <row r="138" s="56" customFormat="1" ht="12.75"/>
    <row r="139" s="56" customFormat="1" ht="12.75"/>
    <row r="140" s="56" customFormat="1" ht="12.75"/>
    <row r="141" s="56" customFormat="1" ht="12.75"/>
    <row r="142" s="56" customFormat="1" ht="12.75"/>
    <row r="143" s="56" customFormat="1" ht="12.75"/>
    <row r="144" s="56" customFormat="1" ht="12.75"/>
    <row r="145" s="56" customFormat="1" ht="12.75"/>
    <row r="146" s="56" customFormat="1" ht="12.75"/>
    <row r="147" s="56" customFormat="1" ht="12.75"/>
    <row r="148" s="56" customFormat="1" ht="12.75"/>
    <row r="149" s="56" customFormat="1" ht="12.75"/>
    <row r="150" s="56" customFormat="1" ht="12.75"/>
    <row r="151" s="56" customFormat="1" ht="12.75"/>
    <row r="152" s="56" customFormat="1" ht="12.75"/>
    <row r="153" s="56" customFormat="1" ht="12.75"/>
    <row r="154" s="56" customFormat="1" ht="12.75"/>
    <row r="155" s="56" customFormat="1" ht="12.75"/>
    <row r="156" s="56" customFormat="1" ht="12.75"/>
    <row r="157" s="56" customFormat="1" ht="12.75"/>
    <row r="158" s="56" customFormat="1" ht="12.75"/>
    <row r="159" s="56" customFormat="1" ht="12.75"/>
    <row r="160" s="56" customFormat="1" ht="12.75"/>
    <row r="161" s="56" customFormat="1" ht="12.75"/>
    <row r="162" s="56" customFormat="1" ht="12.75"/>
    <row r="163" s="56" customFormat="1" ht="12.75"/>
    <row r="164" s="56" customFormat="1" ht="12.75"/>
    <row r="165" s="56" customFormat="1" ht="12.75"/>
    <row r="166" s="56" customFormat="1" ht="12.75"/>
    <row r="167" s="56" customFormat="1" ht="12.75"/>
    <row r="168" s="56" customFormat="1" ht="12.75"/>
    <row r="169" s="56" customFormat="1" ht="12.75"/>
    <row r="170" s="56" customFormat="1" ht="12.75"/>
    <row r="171" s="56" customFormat="1" ht="12.75"/>
    <row r="172" s="56" customFormat="1" ht="12.75"/>
    <row r="173" s="56" customFormat="1" ht="12.75"/>
    <row r="174" s="56" customFormat="1" ht="12.75"/>
    <row r="175" s="56" customFormat="1" ht="12.75"/>
    <row r="176" s="56" customFormat="1" ht="12.75"/>
    <row r="177" s="56" customFormat="1" ht="12.75"/>
    <row r="178" s="56" customFormat="1" ht="12.75"/>
    <row r="179" s="56" customFormat="1" ht="12.75"/>
    <row r="180" s="56" customFormat="1" ht="12.75"/>
    <row r="181" s="56" customFormat="1" ht="12.75"/>
    <row r="182" s="56" customFormat="1" ht="12.75"/>
    <row r="183" s="56" customFormat="1" ht="12.75"/>
    <row r="184" s="56" customFormat="1" ht="12.75"/>
    <row r="185" s="56" customFormat="1" ht="12.75"/>
    <row r="186" s="56" customFormat="1" ht="12.75"/>
    <row r="187" s="56" customFormat="1" ht="12.75"/>
    <row r="188" s="56" customFormat="1" ht="12.75"/>
    <row r="189" s="56" customFormat="1" ht="12.75"/>
    <row r="190" s="56" customFormat="1" ht="12.75"/>
    <row r="191" s="56" customFormat="1" ht="12.75"/>
    <row r="192" s="56" customFormat="1" ht="12.75"/>
    <row r="193" s="56" customFormat="1" ht="12.75"/>
    <row r="194" s="56" customFormat="1" ht="12.75"/>
    <row r="195" s="56" customFormat="1" ht="12.75"/>
    <row r="196" s="56" customFormat="1" ht="12.75"/>
    <row r="197" s="56" customFormat="1" ht="12.75"/>
    <row r="198" s="56" customFormat="1" ht="12.75"/>
    <row r="199" s="56" customFormat="1" ht="12.75"/>
    <row r="200" s="56" customFormat="1" ht="12.75"/>
    <row r="201" s="56" customFormat="1" ht="12.75"/>
    <row r="202" s="56" customFormat="1" ht="12.75"/>
    <row r="203" s="56" customFormat="1" ht="12.75"/>
    <row r="204" s="56" customFormat="1" ht="12.75"/>
    <row r="205" s="56" customFormat="1" ht="12.75"/>
    <row r="206" s="56" customFormat="1" ht="12.75"/>
    <row r="207" s="56" customFormat="1" ht="12.75"/>
    <row r="208" s="56" customFormat="1" ht="12.75"/>
    <row r="209" s="56" customFormat="1" ht="12.75"/>
    <row r="210" s="56" customFormat="1" ht="12.75"/>
    <row r="211" s="56" customFormat="1" ht="12.75"/>
    <row r="212" s="56" customFormat="1" ht="12.75"/>
    <row r="213" s="56" customFormat="1" ht="12.75"/>
    <row r="214" s="56" customFormat="1" ht="12.75"/>
    <row r="215" s="56" customFormat="1" ht="12.75"/>
    <row r="216" s="56" customFormat="1" ht="12.75"/>
    <row r="217" s="56" customFormat="1" ht="12.75"/>
    <row r="218" s="56" customFormat="1" ht="12.75"/>
    <row r="219" s="56" customFormat="1" ht="12.75"/>
    <row r="220" s="56" customFormat="1" ht="12.75"/>
    <row r="221" s="56" customFormat="1" ht="12.75"/>
    <row r="222" s="56" customFormat="1" ht="12.75"/>
    <row r="223" s="56" customFormat="1" ht="12.75"/>
    <row r="224" s="56" customFormat="1" ht="12.75"/>
    <row r="225" s="56" customFormat="1" ht="12.75"/>
    <row r="226" s="56" customFormat="1" ht="12.75"/>
    <row r="227" s="56" customFormat="1" ht="12.75"/>
    <row r="228" s="56" customFormat="1" ht="12.75"/>
    <row r="229" s="56" customFormat="1" ht="12.75"/>
    <row r="230" s="56" customFormat="1" ht="12.75"/>
    <row r="231" s="56" customFormat="1" ht="12.75"/>
    <row r="232" s="56" customFormat="1" ht="12.75"/>
  </sheetData>
  <sheetProtection password="CCE4" sheet="1" objects="1" scenarios="1"/>
  <mergeCells count="25">
    <mergeCell ref="A78:B78"/>
    <mergeCell ref="A80:B80"/>
    <mergeCell ref="D70:J71"/>
    <mergeCell ref="A1:J1"/>
    <mergeCell ref="A2:J2"/>
    <mergeCell ref="A53:C53"/>
    <mergeCell ref="A59:B59"/>
    <mergeCell ref="A62:B62"/>
    <mergeCell ref="A64:B64"/>
    <mergeCell ref="A66:B66"/>
    <mergeCell ref="E89:F89"/>
    <mergeCell ref="D76:J77"/>
    <mergeCell ref="D78:J79"/>
    <mergeCell ref="D80:J82"/>
    <mergeCell ref="A76:B76"/>
    <mergeCell ref="D68:J69"/>
    <mergeCell ref="A68:B68"/>
    <mergeCell ref="A70:B70"/>
    <mergeCell ref="C36:E36"/>
    <mergeCell ref="A74:B74"/>
    <mergeCell ref="D59:J61"/>
    <mergeCell ref="A72:B72"/>
    <mergeCell ref="D62:J63"/>
    <mergeCell ref="D66:J67"/>
    <mergeCell ref="D64:J65"/>
  </mergeCells>
  <dataValidations count="8">
    <dataValidation type="decimal" allowBlank="1" showInputMessage="1" showErrorMessage="1" errorTitle="Invalid Entry" error="Please check your number!" sqref="C94">
      <formula1>40000</formula1>
      <formula2>150000</formula2>
    </dataValidation>
    <dataValidation type="list" allowBlank="1" showInputMessage="1" showErrorMessage="1" error="Enter &quot;Shift&quot; or &quot;One night a week&quot;" sqref="C19">
      <formula1>Schedule</formula1>
    </dataValidation>
    <dataValidation type="list" allowBlank="1" showInputMessage="1" showErrorMessage="1" error="Select 72, 60, or 56" sqref="C21">
      <formula1>Hours</formula1>
    </dataValidation>
    <dataValidation type="list" allowBlank="1" showInputMessage="1" showErrorMessage="1" error="Select 26 or 27" sqref="C44">
      <formula1>Payperiods</formula1>
    </dataValidation>
    <dataValidation type="decimal" allowBlank="1" showInputMessage="1" showErrorMessage="1" errorTitle="Invalid information" error="Make sure you enter the LMS as a number between 0 and 100, and don't enter a % sign." sqref="C29">
      <formula1>0</formula1>
      <formula2>100</formula2>
    </dataValidation>
    <dataValidation type="decimal" allowBlank="1" showInputMessage="1" showErrorMessage="1" errorTitle="Invalid Information" error="Please check your number!" sqref="C55">
      <formula1>16880</formula1>
      <formula2>150000</formula2>
    </dataValidation>
    <dataValidation type="decimal" allowBlank="1" showInputMessage="1" showErrorMessage="1" error="Make sure you enter the COLA rate as a number between 10 and 50, and don't enter a % sign." sqref="G38">
      <formula1>10</formula1>
      <formula2>50</formula2>
    </dataValidation>
    <dataValidation type="list" allowBlank="1" showInputMessage="1" showErrorMessage="1" error="You must select one of the COLA areas provided.  Clear the cell and click on the arrow to see your choices." sqref="C36">
      <formula1>COLA</formula1>
    </dataValidation>
  </dataValidations>
  <hyperlinks>
    <hyperlink ref="A53" r:id="rId1" display="NSPS Conversion Calculator"/>
    <hyperlink ref="A2:J2" r:id="rId2" display="Developed by Anthony J. Fanchi"/>
    <hyperlink ref="E89" r:id="rId3" display="http://www.opm.gov"/>
    <hyperlink ref="E89:F89" r:id="rId4" display="http://www.opm.gov."/>
  </hyperlinks>
  <printOptions horizontalCentered="1"/>
  <pageMargins left="0.75" right="0.75" top="1" bottom="1" header="0.5" footer="0.5"/>
  <pageSetup horizontalDpi="300" verticalDpi="300" orientation="portrait" scale="70" r:id="rId8"/>
  <rowBreaks count="1" manualBreakCount="1">
    <brk id="83" max="255" man="1"/>
  </rowBreaks>
  <legacyDrawing r:id="rId6"/>
  <picture r:id="rId7"/>
</worksheet>
</file>

<file path=xl/worksheets/sheet2.xml><?xml version="1.0" encoding="utf-8"?>
<worksheet xmlns="http://schemas.openxmlformats.org/spreadsheetml/2006/main" xmlns:r="http://schemas.openxmlformats.org/officeDocument/2006/relationships">
  <dimension ref="A1:I48"/>
  <sheetViews>
    <sheetView showGridLines="0" workbookViewId="0" topLeftCell="A1">
      <selection activeCell="A1" sqref="A1"/>
    </sheetView>
  </sheetViews>
  <sheetFormatPr defaultColWidth="9.140625" defaultRowHeight="12.75"/>
  <cols>
    <col min="1" max="1" width="11.28125" style="44" bestFit="1" customWidth="1"/>
    <col min="2" max="7" width="9.140625" style="44" customWidth="1"/>
    <col min="8" max="8" width="32.00390625" style="44" customWidth="1"/>
    <col min="9" max="16384" width="9.140625" style="44" customWidth="1"/>
  </cols>
  <sheetData>
    <row r="1" spans="1:9" ht="12.75" customHeight="1">
      <c r="A1" s="62" t="s">
        <v>65</v>
      </c>
      <c r="H1" s="83" t="s">
        <v>99</v>
      </c>
      <c r="I1" s="83" t="s">
        <v>100</v>
      </c>
    </row>
    <row r="2" spans="1:9" ht="12.75" customHeight="1">
      <c r="A2" s="43" t="s">
        <v>12</v>
      </c>
      <c r="H2" s="81" t="s">
        <v>104</v>
      </c>
      <c r="I2" s="82">
        <v>0</v>
      </c>
    </row>
    <row r="3" spans="1:9" ht="12.75" customHeight="1">
      <c r="A3" s="43" t="s">
        <v>13</v>
      </c>
      <c r="H3" s="79" t="s">
        <v>84</v>
      </c>
      <c r="I3" s="80">
        <v>0.23</v>
      </c>
    </row>
    <row r="4" spans="1:9" ht="12.75" customHeight="1">
      <c r="A4" s="43"/>
      <c r="H4" s="79" t="s">
        <v>85</v>
      </c>
      <c r="I4" s="80">
        <v>0.23</v>
      </c>
    </row>
    <row r="5" spans="1:9" ht="12.75" customHeight="1">
      <c r="A5" s="63" t="s">
        <v>38</v>
      </c>
      <c r="H5" s="79" t="s">
        <v>86</v>
      </c>
      <c r="I5" s="80">
        <v>0.23</v>
      </c>
    </row>
    <row r="6" spans="1:9" ht="12.75" customHeight="1">
      <c r="A6" s="43">
        <v>72</v>
      </c>
      <c r="H6" s="79" t="s">
        <v>87</v>
      </c>
      <c r="I6" s="80">
        <v>0.25</v>
      </c>
    </row>
    <row r="7" spans="1:9" ht="12.75" customHeight="1">
      <c r="A7" s="43">
        <v>60</v>
      </c>
      <c r="H7" s="79" t="s">
        <v>88</v>
      </c>
      <c r="I7" s="80">
        <v>0.25</v>
      </c>
    </row>
    <row r="8" spans="1:9" ht="12.75" customHeight="1">
      <c r="A8" s="43">
        <v>56</v>
      </c>
      <c r="H8" s="79" t="s">
        <v>89</v>
      </c>
      <c r="I8" s="80">
        <v>0.18</v>
      </c>
    </row>
    <row r="9" spans="1:9" ht="12.75" customHeight="1">
      <c r="A9" s="43"/>
      <c r="H9" s="79" t="s">
        <v>90</v>
      </c>
      <c r="I9" s="80">
        <v>0.25</v>
      </c>
    </row>
    <row r="10" spans="1:9" ht="12.75" customHeight="1">
      <c r="A10" s="63" t="s">
        <v>69</v>
      </c>
      <c r="H10" s="79" t="s">
        <v>91</v>
      </c>
      <c r="I10" s="80">
        <v>0.25</v>
      </c>
    </row>
    <row r="11" spans="1:9" ht="12.75" customHeight="1">
      <c r="A11" s="43">
        <v>26</v>
      </c>
      <c r="H11" s="79" t="s">
        <v>92</v>
      </c>
      <c r="I11" s="80">
        <v>0.13</v>
      </c>
    </row>
    <row r="12" spans="1:9" ht="12.75" customHeight="1">
      <c r="A12" s="43">
        <v>27</v>
      </c>
      <c r="H12" s="79" t="s">
        <v>93</v>
      </c>
      <c r="I12" s="80">
        <v>0.25</v>
      </c>
    </row>
    <row r="13" spans="8:9" ht="12.75" customHeight="1">
      <c r="H13" s="79" t="s">
        <v>94</v>
      </c>
      <c r="I13" s="80">
        <v>0.25</v>
      </c>
    </row>
    <row r="14" spans="1:9" ht="12.75" customHeight="1">
      <c r="A14" s="62" t="s">
        <v>66</v>
      </c>
      <c r="H14" s="79" t="s">
        <v>95</v>
      </c>
      <c r="I14" s="80">
        <v>0.25</v>
      </c>
    </row>
    <row r="15" spans="1:9" ht="12.75" customHeight="1">
      <c r="A15" s="61">
        <v>45095</v>
      </c>
      <c r="B15" s="44" t="s">
        <v>109</v>
      </c>
      <c r="H15" s="79" t="s">
        <v>96</v>
      </c>
      <c r="I15" s="80">
        <v>0.25</v>
      </c>
    </row>
    <row r="16" spans="1:9" ht="12.75" customHeight="1">
      <c r="A16" s="61"/>
      <c r="H16" s="79" t="s">
        <v>97</v>
      </c>
      <c r="I16" s="80">
        <v>0.25</v>
      </c>
    </row>
    <row r="17" spans="1:9" ht="12.75">
      <c r="A17" s="20">
        <f>IF('Pay Calculator'!C94&gt;A15,'Pay Calculator'!C94,A15)</f>
        <v>45095</v>
      </c>
      <c r="B17" s="44" t="s">
        <v>68</v>
      </c>
      <c r="H17" s="79" t="s">
        <v>98</v>
      </c>
      <c r="I17" s="80">
        <v>0.25</v>
      </c>
    </row>
    <row r="19" spans="1:2" ht="12.75">
      <c r="A19" s="20">
        <f>ROUND(A17+(A17*('Pay Calculator'!C29/100)),0)</f>
        <v>51345</v>
      </c>
      <c r="B19" s="44" t="s">
        <v>32</v>
      </c>
    </row>
    <row r="21" spans="1:2" ht="12.75">
      <c r="A21" s="19">
        <f>ROUND(ROUND(A19/2087,2)*1.5,2)</f>
        <v>36.9</v>
      </c>
      <c r="B21" s="44" t="s">
        <v>33</v>
      </c>
    </row>
    <row r="23" ht="12.75">
      <c r="A23" s="62" t="s">
        <v>67</v>
      </c>
    </row>
    <row r="24" ht="12.75">
      <c r="A24" s="44" t="s">
        <v>45</v>
      </c>
    </row>
    <row r="26" spans="1:7" ht="12.75">
      <c r="A26" s="92" t="s">
        <v>51</v>
      </c>
      <c r="B26" s="92"/>
      <c r="C26" s="92"/>
      <c r="D26" s="92"/>
      <c r="E26" s="92"/>
      <c r="F26" s="92"/>
      <c r="G26" s="92"/>
    </row>
    <row r="27" spans="1:7" ht="12.75">
      <c r="A27" s="92"/>
      <c r="B27" s="92"/>
      <c r="C27" s="92"/>
      <c r="D27" s="92"/>
      <c r="E27" s="92"/>
      <c r="F27" s="92"/>
      <c r="G27" s="92"/>
    </row>
    <row r="28" spans="1:7" ht="12.75">
      <c r="A28" s="45"/>
      <c r="B28" s="45"/>
      <c r="C28" s="45"/>
      <c r="D28" s="45"/>
      <c r="E28" s="45"/>
      <c r="F28" s="45"/>
      <c r="G28" s="45"/>
    </row>
    <row r="29" spans="1:7" ht="12.75">
      <c r="A29" s="92" t="s">
        <v>52</v>
      </c>
      <c r="B29" s="92"/>
      <c r="C29" s="92"/>
      <c r="D29" s="92"/>
      <c r="E29" s="92"/>
      <c r="F29" s="92"/>
      <c r="G29" s="92"/>
    </row>
    <row r="30" spans="1:7" ht="12.75">
      <c r="A30" s="92"/>
      <c r="B30" s="92"/>
      <c r="C30" s="92"/>
      <c r="D30" s="92"/>
      <c r="E30" s="92"/>
      <c r="F30" s="92"/>
      <c r="G30" s="92"/>
    </row>
    <row r="32" spans="1:7" ht="12.75">
      <c r="A32" s="92" t="s">
        <v>50</v>
      </c>
      <c r="B32" s="92"/>
      <c r="C32" s="92"/>
      <c r="D32" s="92"/>
      <c r="E32" s="92"/>
      <c r="F32" s="92"/>
      <c r="G32" s="92"/>
    </row>
    <row r="33" spans="1:7" ht="12.75">
      <c r="A33" s="92"/>
      <c r="B33" s="92"/>
      <c r="C33" s="92"/>
      <c r="D33" s="92"/>
      <c r="E33" s="92"/>
      <c r="F33" s="92"/>
      <c r="G33" s="92"/>
    </row>
    <row r="35" spans="1:7" ht="12.75">
      <c r="A35" s="92" t="s">
        <v>49</v>
      </c>
      <c r="B35" s="92"/>
      <c r="C35" s="92"/>
      <c r="D35" s="92"/>
      <c r="E35" s="92"/>
      <c r="F35" s="92"/>
      <c r="G35" s="92"/>
    </row>
    <row r="36" spans="1:7" ht="12.75">
      <c r="A36" s="92"/>
      <c r="B36" s="92"/>
      <c r="C36" s="92"/>
      <c r="D36" s="92"/>
      <c r="E36" s="92"/>
      <c r="F36" s="92"/>
      <c r="G36" s="92"/>
    </row>
    <row r="38" spans="1:7" ht="12.75">
      <c r="A38" s="92" t="s">
        <v>53</v>
      </c>
      <c r="B38" s="92"/>
      <c r="C38" s="92"/>
      <c r="D38" s="92"/>
      <c r="E38" s="92"/>
      <c r="F38" s="92"/>
      <c r="G38" s="92"/>
    </row>
    <row r="39" spans="1:7" ht="12.75">
      <c r="A39" s="92"/>
      <c r="B39" s="92"/>
      <c r="C39" s="92"/>
      <c r="D39" s="92"/>
      <c r="E39" s="92"/>
      <c r="F39" s="92"/>
      <c r="G39" s="92"/>
    </row>
    <row r="41" spans="1:7" ht="12.75">
      <c r="A41" s="92" t="s">
        <v>54</v>
      </c>
      <c r="B41" s="92"/>
      <c r="C41" s="92"/>
      <c r="D41" s="92"/>
      <c r="E41" s="92"/>
      <c r="F41" s="92"/>
      <c r="G41" s="92"/>
    </row>
    <row r="42" spans="1:7" ht="12.75">
      <c r="A42" s="92"/>
      <c r="B42" s="92"/>
      <c r="C42" s="92"/>
      <c r="D42" s="92"/>
      <c r="E42" s="92"/>
      <c r="F42" s="92"/>
      <c r="G42" s="92"/>
    </row>
    <row r="44" spans="1:7" ht="12.75">
      <c r="A44" s="132" t="s">
        <v>46</v>
      </c>
      <c r="B44" s="133"/>
      <c r="C44" s="133"/>
      <c r="D44" s="133"/>
      <c r="E44" s="133"/>
      <c r="F44" s="133"/>
      <c r="G44" s="133"/>
    </row>
    <row r="45" spans="1:7" ht="12.75">
      <c r="A45" s="133"/>
      <c r="B45" s="133"/>
      <c r="C45" s="133"/>
      <c r="D45" s="133"/>
      <c r="E45" s="133"/>
      <c r="F45" s="133"/>
      <c r="G45" s="133"/>
    </row>
    <row r="46" spans="1:3" ht="12.75">
      <c r="A46" s="16"/>
      <c r="B46" s="16"/>
      <c r="C46" s="16"/>
    </row>
    <row r="47" spans="1:7" ht="12.75">
      <c r="A47" s="132" t="s">
        <v>47</v>
      </c>
      <c r="B47" s="133"/>
      <c r="C47" s="133"/>
      <c r="D47" s="133"/>
      <c r="E47" s="133"/>
      <c r="F47" s="133"/>
      <c r="G47" s="133"/>
    </row>
    <row r="48" spans="1:7" ht="12.75">
      <c r="A48" s="133"/>
      <c r="B48" s="133"/>
      <c r="C48" s="133"/>
      <c r="D48" s="133"/>
      <c r="E48" s="133"/>
      <c r="F48" s="133"/>
      <c r="G48" s="133"/>
    </row>
  </sheetData>
  <sheetProtection password="CCE4" sheet="1" objects="1" scenarios="1"/>
  <mergeCells count="8">
    <mergeCell ref="A44:G45"/>
    <mergeCell ref="A47:G48"/>
    <mergeCell ref="A26:G27"/>
    <mergeCell ref="A32:G33"/>
    <mergeCell ref="A35:G36"/>
    <mergeCell ref="A29:G30"/>
    <mergeCell ref="A38:G39"/>
    <mergeCell ref="A41:G4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Schedule</dc:title>
  <dc:subject/>
  <dc:creator>Tony Fanchi</dc:creator>
  <cp:keywords/>
  <dc:description/>
  <cp:lastModifiedBy>anthony.fanchi</cp:lastModifiedBy>
  <cp:lastPrinted>2005-12-24T01:05:09Z</cp:lastPrinted>
  <dcterms:created xsi:type="dcterms:W3CDTF">1999-02-27T03:27:03Z</dcterms:created>
  <dcterms:modified xsi:type="dcterms:W3CDTF">2008-12-20T18:07:55Z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